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F:\LUAN\DU LIEU O D\DU LIEU CONG VIEC\2022\GPMB\Đưong Hoang Kim (QL 1-QL 45)\thu hồi và PD P.A\Đợt 5 + 3 - TDA 1\"/>
    </mc:Choice>
  </mc:AlternateContent>
  <xr:revisionPtr revIDLastSave="0" documentId="13_ncr:1_{0837574D-2C2B-4D27-B83F-926A596411E1}" xr6:coauthVersionLast="47" xr6:coauthVersionMax="47" xr10:uidLastSave="{00000000-0000-0000-0000-000000000000}"/>
  <bookViews>
    <workbookView xWindow="-120" yWindow="-120" windowWidth="20730" windowHeight="11310" xr2:uid="{00000000-000D-0000-FFFF-FFFF00000000}"/>
  </bookViews>
  <sheets>
    <sheet name="phương án" sheetId="6" r:id="rId1"/>
  </sheets>
  <definedNames>
    <definedName name="_xlnm._FilterDatabase" localSheetId="0" hidden="1">'phương án'!$A$5:$P$693</definedName>
    <definedName name="_xlnm.Print_Area" localSheetId="0">'phương án'!$A$1:$L$693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92" i="6" l="1"/>
  <c r="K17" i="6"/>
  <c r="K15" i="6"/>
  <c r="K9" i="6"/>
  <c r="K10" i="6"/>
  <c r="K11" i="6"/>
  <c r="K12" i="6"/>
  <c r="K13" i="6"/>
  <c r="K16" i="6"/>
  <c r="K18" i="6"/>
  <c r="K19" i="6"/>
  <c r="K21" i="6"/>
  <c r="K22" i="6"/>
  <c r="K23" i="6"/>
  <c r="K24" i="6"/>
  <c r="K25" i="6"/>
  <c r="K26" i="6"/>
  <c r="K28" i="6"/>
  <c r="K29" i="6"/>
  <c r="K30" i="6"/>
  <c r="K31" i="6"/>
  <c r="K32" i="6"/>
  <c r="K33" i="6"/>
  <c r="K34" i="6"/>
  <c r="K8" i="6"/>
  <c r="K115" i="6"/>
  <c r="N640" i="6"/>
  <c r="N570" i="6"/>
  <c r="N505" i="6"/>
  <c r="N460" i="6"/>
  <c r="N410" i="6"/>
  <c r="N358" i="6"/>
  <c r="N318" i="6"/>
  <c r="N315" i="6"/>
  <c r="K7" i="6" l="1"/>
  <c r="K27" i="6"/>
  <c r="K14" i="6"/>
  <c r="K20" i="6"/>
  <c r="N285" i="6"/>
  <c r="N284" i="6"/>
  <c r="N282" i="6"/>
  <c r="N272" i="6"/>
  <c r="N248" i="6"/>
  <c r="N223" i="6"/>
  <c r="N222" i="6"/>
  <c r="N193" i="6"/>
  <c r="N191" i="6"/>
  <c r="N146" i="6"/>
  <c r="N159" i="6"/>
  <c r="N199" i="6"/>
  <c r="N202" i="6"/>
  <c r="N225" i="6"/>
  <c r="N239" i="6"/>
  <c r="N149" i="6"/>
  <c r="N104" i="6"/>
  <c r="N99" i="6"/>
  <c r="N81" i="6"/>
  <c r="N63" i="6"/>
  <c r="N89" i="6"/>
  <c r="N86" i="6"/>
  <c r="N77" i="6"/>
  <c r="N70" i="6"/>
  <c r="N46" i="6"/>
  <c r="N41" i="6"/>
  <c r="N688" i="6"/>
  <c r="N680" i="6"/>
  <c r="N637" i="6"/>
  <c r="N562" i="6"/>
  <c r="N545" i="6"/>
  <c r="N489" i="6"/>
  <c r="N455" i="6"/>
  <c r="N404" i="6"/>
  <c r="N338" i="6"/>
  <c r="N309" i="6"/>
  <c r="N280" i="6"/>
  <c r="N245" i="6"/>
  <c r="N188" i="6"/>
  <c r="N139" i="6"/>
  <c r="N66" i="6"/>
  <c r="N355" i="6"/>
  <c r="N354" i="6"/>
  <c r="N332" i="6"/>
  <c r="N291" i="6"/>
  <c r="N670" i="6"/>
  <c r="N669" i="6"/>
  <c r="N610" i="6"/>
  <c r="N558" i="6"/>
  <c r="N537" i="6"/>
  <c r="N503" i="6"/>
  <c r="N444" i="6"/>
  <c r="N403" i="6"/>
  <c r="N305" i="6"/>
  <c r="N195" i="6"/>
  <c r="N106" i="6"/>
  <c r="N47" i="6"/>
  <c r="N517" i="6"/>
  <c r="N511" i="6"/>
  <c r="N476" i="6"/>
  <c r="N470" i="6"/>
  <c r="N431" i="6"/>
  <c r="N682" i="6"/>
  <c r="N678" i="6"/>
  <c r="N662" i="6"/>
  <c r="N655" i="6"/>
  <c r="N601" i="6"/>
  <c r="N590" i="6"/>
  <c r="N580" i="6"/>
  <c r="N568" i="6"/>
  <c r="N567" i="6"/>
  <c r="N566" i="6"/>
  <c r="N528" i="6"/>
  <c r="N498" i="6"/>
  <c r="N452" i="6"/>
  <c r="N443" i="6"/>
  <c r="N405" i="6"/>
  <c r="N395" i="6"/>
  <c r="N394" i="6"/>
  <c r="N388" i="6"/>
  <c r="N386" i="6"/>
  <c r="N385" i="6"/>
  <c r="N381" i="6"/>
  <c r="N347" i="6"/>
  <c r="N209" i="6"/>
  <c r="N207" i="6"/>
  <c r="N189" i="6"/>
  <c r="N168" i="6"/>
  <c r="N160" i="6"/>
  <c r="N136" i="6"/>
  <c r="N131" i="6"/>
  <c r="N84" i="6"/>
  <c r="N229" i="6"/>
  <c r="N681" i="6"/>
  <c r="N661" i="6"/>
  <c r="N425" i="6"/>
  <c r="N384" i="6"/>
  <c r="N130" i="6"/>
  <c r="K35" i="6" l="1"/>
  <c r="K36" i="6" s="1"/>
  <c r="K38" i="6" s="1"/>
  <c r="N687" i="6"/>
  <c r="N679" i="6"/>
  <c r="N636" i="6"/>
  <c r="N561" i="6"/>
  <c r="N544" i="6"/>
  <c r="N488" i="6"/>
  <c r="N454" i="6"/>
  <c r="N399" i="6"/>
  <c r="N337" i="6"/>
  <c r="N308" i="6"/>
  <c r="N279" i="6"/>
  <c r="N244" i="6"/>
  <c r="N187" i="6"/>
  <c r="N138" i="6"/>
  <c r="N65" i="6"/>
  <c r="N677" i="6"/>
  <c r="N600" i="6"/>
  <c r="N206" i="6"/>
  <c r="N178" i="6"/>
  <c r="N135" i="6"/>
  <c r="N656" i="6"/>
  <c r="N585" i="6"/>
  <c r="N205" i="6"/>
  <c r="N166" i="6"/>
  <c r="N123" i="6"/>
  <c r="N589" i="6"/>
  <c r="N208" i="6"/>
  <c r="N167" i="6"/>
  <c r="N278" i="6"/>
  <c r="N233" i="6"/>
  <c r="N181" i="6"/>
  <c r="N110" i="6"/>
  <c r="N596" i="6"/>
  <c r="N217" i="6"/>
  <c r="N186" i="6"/>
  <c r="N122" i="6"/>
  <c r="N609" i="6"/>
  <c r="N513" i="6"/>
  <c r="N451" i="6"/>
  <c r="N406" i="6"/>
  <c r="N340" i="6"/>
  <c r="N182" i="6"/>
  <c r="N134" i="6"/>
  <c r="N127" i="6"/>
  <c r="N105" i="6"/>
  <c r="N48" i="6"/>
  <c r="N559" i="6"/>
  <c r="N549" i="6"/>
  <c r="N547" i="6"/>
  <c r="N536" i="6"/>
  <c r="N456" i="6"/>
  <c r="N407" i="6"/>
  <c r="N401" i="6"/>
  <c r="N353" i="6"/>
  <c r="N312" i="6"/>
  <c r="N310" i="6"/>
  <c r="N306" i="6"/>
  <c r="N142" i="6"/>
  <c r="N140" i="6"/>
  <c r="N478" i="6"/>
  <c r="N660" i="6"/>
  <c r="N614" i="6"/>
  <c r="N608" i="6"/>
  <c r="N599" i="6"/>
  <c r="N382" i="6"/>
  <c r="N380" i="6"/>
  <c r="N240" i="6"/>
  <c r="N210" i="6"/>
  <c r="N169" i="6"/>
  <c r="N164" i="6"/>
  <c r="N132" i="6"/>
  <c r="N117" i="6"/>
  <c r="N108" i="6"/>
  <c r="N50" i="6"/>
  <c r="N258" i="6"/>
  <c r="N111" i="6"/>
  <c r="N683" i="6"/>
  <c r="N654" i="6"/>
  <c r="N579" i="6"/>
  <c r="N554" i="6"/>
  <c r="N552" i="6"/>
  <c r="N551" i="6"/>
  <c r="N542" i="6"/>
  <c r="N541" i="6"/>
  <c r="N527" i="6"/>
  <c r="N495" i="6"/>
  <c r="N450" i="6"/>
  <c r="N448" i="6"/>
  <c r="N398" i="6"/>
  <c r="N389" i="6"/>
  <c r="N349" i="6"/>
  <c r="N345" i="6"/>
  <c r="N684" i="6"/>
  <c r="N556" i="6"/>
  <c r="N553" i="6"/>
  <c r="N501" i="6"/>
  <c r="N493" i="6"/>
  <c r="N457" i="6"/>
  <c r="N445" i="6"/>
  <c r="N270" i="6"/>
  <c r="N144" i="6"/>
  <c r="N598" i="6"/>
  <c r="N671" i="6"/>
  <c r="N667" i="6"/>
  <c r="N611" i="6"/>
  <c r="N522" i="6"/>
  <c r="N484" i="6"/>
  <c r="N483" i="6"/>
  <c r="N449" i="6"/>
  <c r="N428" i="6"/>
  <c r="N379" i="6"/>
  <c r="N368" i="6"/>
  <c r="N350" i="6"/>
  <c r="N290" i="6"/>
  <c r="N196" i="6"/>
  <c r="N172" i="6"/>
  <c r="N107" i="6"/>
  <c r="N67" i="6"/>
  <c r="N57" i="6"/>
  <c r="N49" i="6"/>
  <c r="N612" i="6"/>
  <c r="N584" i="6"/>
  <c r="N555" i="6"/>
  <c r="N526" i="6"/>
  <c r="N519" i="6"/>
  <c r="N469" i="6"/>
  <c r="N421" i="6"/>
  <c r="N391" i="6"/>
  <c r="N378" i="6"/>
  <c r="N326" i="6"/>
  <c r="N302" i="6"/>
  <c r="N298" i="6"/>
  <c r="N241" i="6"/>
  <c r="N238" i="6"/>
  <c r="N197" i="6"/>
  <c r="N180" i="6"/>
  <c r="N162" i="6"/>
  <c r="N129" i="6"/>
  <c r="N68" i="6"/>
  <c r="N51" i="6"/>
  <c r="N42" i="6"/>
  <c r="N512" i="6"/>
  <c r="N500" i="6"/>
  <c r="N632" i="6"/>
  <c r="N73" i="6"/>
  <c r="N521" i="6"/>
  <c r="N165" i="6"/>
  <c r="N128" i="6"/>
  <c r="N657" i="6"/>
  <c r="N588" i="6"/>
  <c r="N563" i="6"/>
  <c r="N534" i="6"/>
  <c r="N472" i="6"/>
  <c r="N423" i="6"/>
  <c r="N371" i="6"/>
  <c r="N366" i="6"/>
  <c r="N334" i="6"/>
  <c r="N292" i="6"/>
  <c r="N211" i="6"/>
  <c r="N173" i="6"/>
  <c r="N124" i="6"/>
  <c r="N672" i="6"/>
  <c r="N666" i="6"/>
  <c r="N659" i="6"/>
  <c r="N634" i="6"/>
  <c r="N516" i="6"/>
  <c r="N475" i="6"/>
  <c r="N236" i="6"/>
  <c r="N163" i="6"/>
  <c r="N64" i="6"/>
  <c r="N604" i="6"/>
  <c r="N481" i="6"/>
  <c r="N351" i="6"/>
  <c r="N100" i="6"/>
  <c r="N616" i="6"/>
  <c r="N352" i="6"/>
  <c r="N414" i="6"/>
  <c r="N668" i="6"/>
  <c r="N648" i="6"/>
  <c r="N529" i="6"/>
  <c r="N514" i="6"/>
  <c r="N502" i="6"/>
  <c r="N499" i="6"/>
  <c r="N485" i="6"/>
  <c r="N441" i="6"/>
  <c r="N435" i="6"/>
  <c r="N427" i="6"/>
  <c r="N396" i="6"/>
  <c r="N387" i="6"/>
  <c r="N383" i="6"/>
  <c r="N377" i="6"/>
  <c r="N359" i="6"/>
  <c r="N346" i="6"/>
  <c r="N325" i="6"/>
  <c r="N289" i="6"/>
  <c r="N235" i="6"/>
  <c r="N232" i="6"/>
  <c r="N82" i="6"/>
  <c r="N52" i="6"/>
  <c r="N509" i="6"/>
  <c r="N287" i="6"/>
  <c r="N664" i="6"/>
  <c r="N592" i="6"/>
  <c r="N540" i="6"/>
  <c r="N480" i="6"/>
  <c r="N439" i="6"/>
  <c r="N373" i="6"/>
  <c r="N331" i="6"/>
  <c r="N277" i="6"/>
  <c r="N250" i="6"/>
  <c r="N171" i="6"/>
  <c r="N119" i="6"/>
  <c r="N257" i="6"/>
  <c r="N344" i="6"/>
  <c r="N339" i="6"/>
  <c r="N603" i="6"/>
  <c r="N243" i="6"/>
  <c r="N120" i="6"/>
  <c r="N109" i="6"/>
  <c r="N90" i="6"/>
  <c r="N72" i="6"/>
  <c r="N71" i="6"/>
  <c r="N114" i="6"/>
  <c r="N530" i="6"/>
  <c r="N447" i="6"/>
  <c r="N342" i="6"/>
  <c r="N53" i="6"/>
  <c r="N650" i="6"/>
  <c r="N464" i="6"/>
  <c r="N363" i="6"/>
  <c r="N327" i="6"/>
  <c r="N323" i="6"/>
  <c r="N319" i="6"/>
  <c r="N274" i="6"/>
  <c r="N623" i="6"/>
  <c r="N675" i="6"/>
  <c r="N496" i="6"/>
  <c r="N582" i="6"/>
  <c r="N234" i="6"/>
  <c r="N176" i="6"/>
  <c r="N137" i="6"/>
  <c r="N59" i="6"/>
  <c r="N268" i="6"/>
  <c r="N263" i="6"/>
  <c r="N87" i="6"/>
  <c r="N328" i="6"/>
  <c r="N74" i="6"/>
  <c r="N653" i="6"/>
  <c r="N633" i="6"/>
  <c r="N613" i="6"/>
  <c r="N581" i="6"/>
  <c r="N524" i="6"/>
  <c r="N518" i="6"/>
  <c r="N515" i="6"/>
  <c r="N497" i="6"/>
  <c r="N471" i="6"/>
  <c r="N467" i="6"/>
  <c r="N453" i="6"/>
  <c r="N341" i="6"/>
  <c r="N300" i="6"/>
  <c r="N296" i="6"/>
  <c r="N597" i="6"/>
  <c r="N520" i="6"/>
  <c r="N252" i="6"/>
  <c r="N251" i="6"/>
  <c r="N575" i="6"/>
  <c r="N228" i="6"/>
  <c r="N158" i="6"/>
  <c r="N154" i="6"/>
  <c r="N150" i="6"/>
  <c r="N269" i="6"/>
  <c r="N646" i="6"/>
  <c r="N643" i="6"/>
  <c r="N583" i="6"/>
  <c r="N572" i="6"/>
  <c r="N98" i="6"/>
  <c r="N79" i="6"/>
  <c r="N62" i="6"/>
  <c r="N674" i="6"/>
  <c r="N487" i="6"/>
  <c r="N486" i="6"/>
  <c r="N510" i="6"/>
  <c r="N465" i="6"/>
  <c r="N415" i="6"/>
  <c r="N364" i="6"/>
  <c r="N320" i="6"/>
  <c r="N288" i="6"/>
  <c r="N658" i="6"/>
  <c r="N586" i="6"/>
  <c r="N564" i="6"/>
  <c r="N532" i="6"/>
  <c r="N473" i="6"/>
  <c r="N422" i="6"/>
  <c r="N370" i="6"/>
  <c r="N333" i="6"/>
  <c r="N293" i="6"/>
  <c r="N212" i="6"/>
  <c r="N125" i="6"/>
  <c r="N663" i="6"/>
  <c r="N607" i="6"/>
  <c r="N591" i="6"/>
  <c r="N539" i="6"/>
  <c r="N479" i="6"/>
  <c r="N438" i="6"/>
  <c r="N372" i="6"/>
  <c r="N367" i="6"/>
  <c r="N330" i="6"/>
  <c r="N276" i="6"/>
  <c r="N249" i="6"/>
  <c r="N237" i="6"/>
  <c r="N170" i="6"/>
  <c r="N118" i="6"/>
  <c r="N574" i="6"/>
  <c r="N227" i="6"/>
  <c r="N101" i="6"/>
  <c r="N112" i="6"/>
  <c r="N627" i="6"/>
  <c r="N143" i="6"/>
  <c r="N141" i="6"/>
  <c r="N560" i="6"/>
  <c r="N548" i="6"/>
  <c r="N538" i="6"/>
  <c r="N494" i="6"/>
  <c r="N458" i="6"/>
  <c r="N446" i="6"/>
  <c r="N408" i="6"/>
  <c r="N402" i="6"/>
  <c r="N356" i="6"/>
  <c r="N313" i="6"/>
  <c r="N311" i="6"/>
  <c r="N307" i="6"/>
  <c r="N638" i="6"/>
  <c r="N617" i="6"/>
  <c r="N218" i="6"/>
  <c r="N417" i="6"/>
  <c r="N482" i="6"/>
  <c r="N430" i="6"/>
  <c r="N416" i="6"/>
  <c r="N651" i="6"/>
  <c r="N647" i="6"/>
  <c r="N644" i="6"/>
  <c r="N578" i="6"/>
  <c r="N573" i="6"/>
  <c r="N525" i="6"/>
  <c r="N468" i="6"/>
  <c r="N434" i="6"/>
  <c r="N420" i="6"/>
  <c r="N376" i="6"/>
  <c r="N324" i="6"/>
  <c r="N301" i="6"/>
  <c r="N297" i="6"/>
  <c r="N275" i="6"/>
  <c r="N231" i="6"/>
  <c r="N226" i="6"/>
  <c r="N203" i="6"/>
  <c r="N200" i="6"/>
  <c r="N157" i="6"/>
  <c r="N153" i="6"/>
  <c r="N265" i="6" l="1"/>
  <c r="N629" i="6"/>
  <c r="N261" i="6"/>
  <c r="N255" i="6"/>
  <c r="N58" i="6"/>
  <c r="N665" i="6"/>
  <c r="N602" i="6"/>
  <c r="N577" i="6"/>
  <c r="N433" i="6"/>
  <c r="N426" i="6"/>
  <c r="N419" i="6"/>
  <c r="N375" i="6"/>
  <c r="N242" i="6"/>
  <c r="N230" i="6"/>
  <c r="N194" i="6"/>
  <c r="N156" i="6"/>
  <c r="N152" i="6"/>
  <c r="N148" i="6"/>
  <c r="N103" i="6"/>
  <c r="N80" i="6"/>
  <c r="N61" i="6"/>
  <c r="N253" i="6"/>
  <c r="N91" i="6"/>
  <c r="N676" i="6"/>
  <c r="N605" i="6"/>
  <c r="N546" i="6"/>
  <c r="N491" i="6"/>
  <c r="N437" i="6"/>
  <c r="N397" i="6"/>
  <c r="N336" i="6"/>
  <c r="N303" i="6"/>
  <c r="N204" i="6"/>
  <c r="N177" i="6"/>
  <c r="N133" i="6"/>
  <c r="N626" i="6"/>
  <c r="N264" i="6"/>
  <c r="N628" i="6"/>
  <c r="N625" i="6"/>
  <c r="N622" i="6"/>
  <c r="N619" i="6"/>
  <c r="N219" i="6"/>
  <c r="N262" i="6"/>
  <c r="N621" i="6"/>
  <c r="N116" i="6"/>
  <c r="N615" i="6"/>
  <c r="N259" i="6"/>
  <c r="N93" i="6"/>
  <c r="N429" i="6"/>
  <c r="N260" i="6"/>
  <c r="N256" i="6"/>
  <c r="N543" i="6"/>
  <c r="N348" i="6"/>
  <c r="N220" i="6"/>
  <c r="N393" i="6"/>
  <c r="N54" i="6"/>
  <c r="N44" i="6"/>
  <c r="N631" i="6"/>
  <c r="N630" i="6"/>
  <c r="N94" i="6"/>
  <c r="N43" i="6"/>
  <c r="N624" i="6"/>
  <c r="N266" i="6"/>
  <c r="N179" i="6"/>
  <c r="N55" i="6"/>
  <c r="N620" i="6"/>
  <c r="N254" i="6"/>
  <c r="N113" i="6"/>
  <c r="N92" i="6"/>
  <c r="N618" i="6"/>
  <c r="N673" i="6"/>
  <c r="N606" i="6"/>
  <c r="N535" i="6"/>
  <c r="N492" i="6"/>
  <c r="N436" i="6"/>
  <c r="N400" i="6"/>
  <c r="N329" i="6"/>
  <c r="N304" i="6"/>
  <c r="N246" i="6"/>
  <c r="N175" i="6"/>
  <c r="N83" i="6"/>
  <c r="I96" i="6" l="1"/>
  <c r="K688" i="6"/>
  <c r="K687" i="6"/>
  <c r="K562" i="6"/>
  <c r="K561" i="6"/>
  <c r="K564" i="6"/>
  <c r="K563" i="6"/>
  <c r="H685" i="6"/>
  <c r="K685" i="6" s="1"/>
  <c r="H644" i="6"/>
  <c r="H643" i="6"/>
  <c r="H634" i="6"/>
  <c r="H604" i="6"/>
  <c r="K686" i="6" l="1"/>
  <c r="H684" i="6"/>
  <c r="K684" i="6" s="1"/>
  <c r="H683" i="6"/>
  <c r="K683" i="6" s="1"/>
  <c r="H682" i="6"/>
  <c r="K682" i="6" s="1"/>
  <c r="H681" i="6"/>
  <c r="K681" i="6" s="1"/>
  <c r="K680" i="6"/>
  <c r="K679" i="6"/>
  <c r="H678" i="6"/>
  <c r="K678" i="6" s="1"/>
  <c r="H677" i="6"/>
  <c r="K677" i="6" s="1"/>
  <c r="K676" i="6"/>
  <c r="H675" i="6"/>
  <c r="K675" i="6" s="1"/>
  <c r="H674" i="6"/>
  <c r="K674" i="6" s="1"/>
  <c r="K673" i="6"/>
  <c r="H672" i="6"/>
  <c r="K672" i="6" s="1"/>
  <c r="H671" i="6"/>
  <c r="K671" i="6" s="1"/>
  <c r="H670" i="6"/>
  <c r="K670" i="6" s="1"/>
  <c r="H669" i="6"/>
  <c r="K669" i="6" s="1"/>
  <c r="H668" i="6"/>
  <c r="K668" i="6" s="1"/>
  <c r="H667" i="6"/>
  <c r="K667" i="6" s="1"/>
  <c r="H666" i="6"/>
  <c r="K666" i="6" s="1"/>
  <c r="H665" i="6"/>
  <c r="K665" i="6" s="1"/>
  <c r="K664" i="6"/>
  <c r="K663" i="6"/>
  <c r="H662" i="6"/>
  <c r="K662" i="6" s="1"/>
  <c r="H661" i="6"/>
  <c r="K661" i="6" s="1"/>
  <c r="H660" i="6"/>
  <c r="K660" i="6" s="1"/>
  <c r="H659" i="6"/>
  <c r="K659" i="6" s="1"/>
  <c r="K658" i="6"/>
  <c r="K657" i="6"/>
  <c r="H656" i="6"/>
  <c r="K656" i="6" s="1"/>
  <c r="H655" i="6"/>
  <c r="K655" i="6" s="1"/>
  <c r="H654" i="6"/>
  <c r="K654" i="6" s="1"/>
  <c r="H653" i="6"/>
  <c r="K653" i="6" s="1"/>
  <c r="I652" i="6"/>
  <c r="N652" i="6" s="1"/>
  <c r="H652" i="6"/>
  <c r="H651" i="6"/>
  <c r="K651" i="6" s="1"/>
  <c r="H650" i="6"/>
  <c r="K650" i="6" s="1"/>
  <c r="I649" i="6"/>
  <c r="N649" i="6" s="1"/>
  <c r="H649" i="6"/>
  <c r="H648" i="6"/>
  <c r="K648" i="6" s="1"/>
  <c r="H647" i="6"/>
  <c r="K647" i="6" s="1"/>
  <c r="H646" i="6"/>
  <c r="K646" i="6" s="1"/>
  <c r="I645" i="6"/>
  <c r="N645" i="6" s="1"/>
  <c r="H645" i="6"/>
  <c r="K644" i="6"/>
  <c r="K643" i="6"/>
  <c r="I642" i="6"/>
  <c r="N642" i="6" s="1"/>
  <c r="H642" i="6"/>
  <c r="K640" i="6"/>
  <c r="K638" i="6"/>
  <c r="K637" i="6"/>
  <c r="K636" i="6"/>
  <c r="H635" i="6"/>
  <c r="K635" i="6" s="1"/>
  <c r="K634" i="6"/>
  <c r="H633" i="6"/>
  <c r="K633" i="6" s="1"/>
  <c r="K632" i="6"/>
  <c r="K631" i="6"/>
  <c r="K630" i="6"/>
  <c r="K629" i="6"/>
  <c r="K628" i="6"/>
  <c r="K627" i="6"/>
  <c r="K626" i="6"/>
  <c r="K625" i="6"/>
  <c r="K624" i="6"/>
  <c r="K623" i="6"/>
  <c r="K622" i="6"/>
  <c r="K621" i="6"/>
  <c r="H620" i="6"/>
  <c r="K620" i="6" s="1"/>
  <c r="K619" i="6"/>
  <c r="K618" i="6"/>
  <c r="K617" i="6"/>
  <c r="K616" i="6"/>
  <c r="K615" i="6"/>
  <c r="H614" i="6"/>
  <c r="K614" i="6" s="1"/>
  <c r="H613" i="6"/>
  <c r="K613" i="6" s="1"/>
  <c r="H612" i="6"/>
  <c r="K612" i="6" s="1"/>
  <c r="H611" i="6"/>
  <c r="K611" i="6" s="1"/>
  <c r="H610" i="6"/>
  <c r="K610" i="6" s="1"/>
  <c r="H609" i="6"/>
  <c r="K609" i="6" s="1"/>
  <c r="H608" i="6"/>
  <c r="K608" i="6" s="1"/>
  <c r="H607" i="6"/>
  <c r="K607" i="6" s="1"/>
  <c r="K606" i="6"/>
  <c r="H605" i="6"/>
  <c r="K605" i="6" s="1"/>
  <c r="K604" i="6"/>
  <c r="H603" i="6"/>
  <c r="K603" i="6" s="1"/>
  <c r="H602" i="6"/>
  <c r="K602" i="6" s="1"/>
  <c r="H601" i="6"/>
  <c r="K601" i="6" s="1"/>
  <c r="H600" i="6"/>
  <c r="K600" i="6" s="1"/>
  <c r="H599" i="6"/>
  <c r="K599" i="6" s="1"/>
  <c r="H598" i="6"/>
  <c r="K598" i="6" s="1"/>
  <c r="H597" i="6"/>
  <c r="K597" i="6" s="1"/>
  <c r="H596" i="6"/>
  <c r="K596" i="6" s="1"/>
  <c r="I595" i="6"/>
  <c r="N595" i="6" s="1"/>
  <c r="H595" i="6"/>
  <c r="I594" i="6"/>
  <c r="N594" i="6" s="1"/>
  <c r="H594" i="6"/>
  <c r="K594" i="6" s="1"/>
  <c r="I593" i="6"/>
  <c r="N593" i="6" s="1"/>
  <c r="H593" i="6"/>
  <c r="K592" i="6"/>
  <c r="K591" i="6"/>
  <c r="H590" i="6"/>
  <c r="K590" i="6" s="1"/>
  <c r="H589" i="6"/>
  <c r="K589" i="6" s="1"/>
  <c r="K588" i="6"/>
  <c r="K587" i="6"/>
  <c r="K586" i="6"/>
  <c r="H585" i="6"/>
  <c r="K585" i="6" s="1"/>
  <c r="H584" i="6"/>
  <c r="K584" i="6" s="1"/>
  <c r="H583" i="6"/>
  <c r="K583" i="6" s="1"/>
  <c r="H582" i="6"/>
  <c r="K582" i="6" s="1"/>
  <c r="H581" i="6"/>
  <c r="K581" i="6" s="1"/>
  <c r="H580" i="6"/>
  <c r="K580" i="6" s="1"/>
  <c r="H579" i="6"/>
  <c r="K579" i="6" s="1"/>
  <c r="H578" i="6"/>
  <c r="K578" i="6" s="1"/>
  <c r="H577" i="6"/>
  <c r="K577" i="6" s="1"/>
  <c r="I576" i="6"/>
  <c r="N576" i="6" s="1"/>
  <c r="H576" i="6"/>
  <c r="H575" i="6"/>
  <c r="K575" i="6" s="1"/>
  <c r="H574" i="6"/>
  <c r="K574" i="6" s="1"/>
  <c r="H573" i="6"/>
  <c r="K573" i="6" s="1"/>
  <c r="H572" i="6"/>
  <c r="K572" i="6" s="1"/>
  <c r="I571" i="6"/>
  <c r="N571" i="6" s="1"/>
  <c r="H571" i="6"/>
  <c r="K570" i="6"/>
  <c r="K595" i="6" l="1"/>
  <c r="K645" i="6"/>
  <c r="K576" i="6"/>
  <c r="K652" i="6"/>
  <c r="K571" i="6"/>
  <c r="K593" i="6"/>
  <c r="K642" i="6"/>
  <c r="K649" i="6"/>
  <c r="K639" i="6" l="1"/>
  <c r="K569" i="6"/>
  <c r="H568" i="6"/>
  <c r="K568" i="6" s="1"/>
  <c r="H567" i="6"/>
  <c r="K567" i="6" s="1"/>
  <c r="H566" i="6"/>
  <c r="K566" i="6" s="1"/>
  <c r="H560" i="6"/>
  <c r="K560" i="6" s="1"/>
  <c r="H559" i="6"/>
  <c r="K559" i="6" s="1"/>
  <c r="H558" i="6"/>
  <c r="K558" i="6" s="1"/>
  <c r="K565" i="6" l="1"/>
  <c r="K557" i="6"/>
  <c r="H312" i="6"/>
  <c r="K312" i="6" s="1"/>
  <c r="H313" i="6"/>
  <c r="K313" i="6" s="1"/>
  <c r="H311" i="6"/>
  <c r="K311" i="6" s="1"/>
  <c r="H310" i="6"/>
  <c r="K310" i="6" s="1"/>
  <c r="H307" i="6"/>
  <c r="H305" i="6"/>
  <c r="H556" i="6"/>
  <c r="K556" i="6" s="1"/>
  <c r="H555" i="6"/>
  <c r="K555" i="6" s="1"/>
  <c r="H554" i="6"/>
  <c r="K554" i="6" s="1"/>
  <c r="H553" i="6"/>
  <c r="K553" i="6" s="1"/>
  <c r="H551" i="6"/>
  <c r="K551" i="6" s="1"/>
  <c r="H552" i="6" l="1"/>
  <c r="K552" i="6" s="1"/>
  <c r="K550" i="6" s="1"/>
  <c r="H549" i="6"/>
  <c r="K549" i="6" s="1"/>
  <c r="H548" i="6"/>
  <c r="K548" i="6" s="1"/>
  <c r="H547" i="6"/>
  <c r="K547" i="6" s="1"/>
  <c r="H538" i="6"/>
  <c r="H537" i="6"/>
  <c r="H503" i="6"/>
  <c r="K503" i="6" s="1"/>
  <c r="K546" i="6" l="1"/>
  <c r="K545" i="6"/>
  <c r="K544" i="6"/>
  <c r="H543" i="6"/>
  <c r="K543" i="6" s="1"/>
  <c r="H542" i="6"/>
  <c r="K542" i="6" s="1"/>
  <c r="H541" i="6"/>
  <c r="K541" i="6" s="1"/>
  <c r="K540" i="6"/>
  <c r="K539" i="6"/>
  <c r="K538" i="6"/>
  <c r="K537" i="6"/>
  <c r="H536" i="6"/>
  <c r="K536" i="6" s="1"/>
  <c r="K535" i="6"/>
  <c r="K534" i="6"/>
  <c r="K533" i="6"/>
  <c r="K532" i="6"/>
  <c r="H531" i="6"/>
  <c r="K531" i="6" s="1"/>
  <c r="H530" i="6"/>
  <c r="K530" i="6" s="1"/>
  <c r="H529" i="6"/>
  <c r="K529" i="6" s="1"/>
  <c r="H528" i="6"/>
  <c r="K528" i="6" s="1"/>
  <c r="H527" i="6"/>
  <c r="K527" i="6" s="1"/>
  <c r="H526" i="6"/>
  <c r="K526" i="6" s="1"/>
  <c r="H525" i="6"/>
  <c r="K525" i="6" s="1"/>
  <c r="H524" i="6"/>
  <c r="K524" i="6" s="1"/>
  <c r="I523" i="6"/>
  <c r="N523" i="6" s="1"/>
  <c r="H523" i="6"/>
  <c r="H522" i="6"/>
  <c r="K522" i="6" s="1"/>
  <c r="H521" i="6"/>
  <c r="K521" i="6" s="1"/>
  <c r="H520" i="6"/>
  <c r="K520" i="6" s="1"/>
  <c r="H519" i="6"/>
  <c r="K519" i="6" s="1"/>
  <c r="H518" i="6"/>
  <c r="K518" i="6" s="1"/>
  <c r="H517" i="6"/>
  <c r="K517" i="6" s="1"/>
  <c r="H516" i="6"/>
  <c r="K516" i="6" s="1"/>
  <c r="H515" i="6"/>
  <c r="K515" i="6" s="1"/>
  <c r="H514" i="6"/>
  <c r="K514" i="6" s="1"/>
  <c r="H513" i="6"/>
  <c r="K513" i="6" s="1"/>
  <c r="H512" i="6"/>
  <c r="K512" i="6" s="1"/>
  <c r="H511" i="6"/>
  <c r="K511" i="6" s="1"/>
  <c r="H510" i="6"/>
  <c r="K510" i="6" s="1"/>
  <c r="H509" i="6"/>
  <c r="K509" i="6" s="1"/>
  <c r="I508" i="6"/>
  <c r="N508" i="6" s="1"/>
  <c r="H508" i="6"/>
  <c r="I507" i="6"/>
  <c r="N507" i="6" s="1"/>
  <c r="H507" i="6"/>
  <c r="K505" i="6"/>
  <c r="H495" i="6"/>
  <c r="I477" i="6"/>
  <c r="N477" i="6" s="1"/>
  <c r="K523" i="6" l="1"/>
  <c r="K508" i="6"/>
  <c r="K507" i="6"/>
  <c r="H463" i="6"/>
  <c r="H465" i="6"/>
  <c r="K465" i="6" s="1"/>
  <c r="H464" i="6"/>
  <c r="K464" i="6" s="1"/>
  <c r="H486" i="6"/>
  <c r="K486" i="6" s="1"/>
  <c r="H502" i="6"/>
  <c r="K502" i="6" s="1"/>
  <c r="H501" i="6"/>
  <c r="K501" i="6" s="1"/>
  <c r="K460" i="6"/>
  <c r="H462" i="6"/>
  <c r="I462" i="6"/>
  <c r="N462" i="6" s="1"/>
  <c r="I463" i="6"/>
  <c r="N463" i="6" s="1"/>
  <c r="H466" i="6"/>
  <c r="I466" i="6"/>
  <c r="N466" i="6" s="1"/>
  <c r="H467" i="6"/>
  <c r="K467" i="6" s="1"/>
  <c r="H468" i="6"/>
  <c r="K468" i="6" s="1"/>
  <c r="H469" i="6"/>
  <c r="K469" i="6" s="1"/>
  <c r="H470" i="6"/>
  <c r="K470" i="6" s="1"/>
  <c r="H471" i="6"/>
  <c r="K471" i="6" s="1"/>
  <c r="K472" i="6"/>
  <c r="K473" i="6"/>
  <c r="K474" i="6"/>
  <c r="H475" i="6"/>
  <c r="K475" i="6" s="1"/>
  <c r="H476" i="6"/>
  <c r="K476" i="6" s="1"/>
  <c r="H477" i="6"/>
  <c r="K477" i="6" s="1"/>
  <c r="H478" i="6"/>
  <c r="K478" i="6" s="1"/>
  <c r="K479" i="6"/>
  <c r="K480" i="6"/>
  <c r="H481" i="6"/>
  <c r="K481" i="6" s="1"/>
  <c r="H482" i="6"/>
  <c r="K482" i="6" s="1"/>
  <c r="H483" i="6"/>
  <c r="K483" i="6" s="1"/>
  <c r="H484" i="6"/>
  <c r="K484" i="6" s="1"/>
  <c r="H485" i="6"/>
  <c r="K485" i="6" s="1"/>
  <c r="H487" i="6"/>
  <c r="K487" i="6" s="1"/>
  <c r="K488" i="6"/>
  <c r="K489" i="6"/>
  <c r="H490" i="6"/>
  <c r="I490" i="6"/>
  <c r="N490" i="6" s="1"/>
  <c r="K491" i="6"/>
  <c r="K492" i="6"/>
  <c r="H493" i="6"/>
  <c r="K493" i="6" s="1"/>
  <c r="H494" i="6"/>
  <c r="K494" i="6" s="1"/>
  <c r="K495" i="6"/>
  <c r="H496" i="6"/>
  <c r="K496" i="6" s="1"/>
  <c r="H497" i="6"/>
  <c r="K497" i="6" s="1"/>
  <c r="H498" i="6"/>
  <c r="K498" i="6" s="1"/>
  <c r="H499" i="6"/>
  <c r="K499" i="6" s="1"/>
  <c r="H500" i="6"/>
  <c r="K500" i="6" s="1"/>
  <c r="K504" i="6" l="1"/>
  <c r="K490" i="6"/>
  <c r="K463" i="6"/>
  <c r="K466" i="6"/>
  <c r="K462" i="6"/>
  <c r="K459" i="6" l="1"/>
  <c r="H458" i="6"/>
  <c r="K458" i="6" s="1"/>
  <c r="H457" i="6"/>
  <c r="K457" i="6" s="1"/>
  <c r="K456" i="6"/>
  <c r="H456" i="6"/>
  <c r="H450" i="6"/>
  <c r="K450" i="6" s="1"/>
  <c r="K410" i="6"/>
  <c r="H412" i="6"/>
  <c r="I412" i="6"/>
  <c r="N412" i="6" s="1"/>
  <c r="H413" i="6"/>
  <c r="I413" i="6"/>
  <c r="N413" i="6" s="1"/>
  <c r="H414" i="6"/>
  <c r="K414" i="6" s="1"/>
  <c r="H415" i="6"/>
  <c r="K415" i="6" s="1"/>
  <c r="H416" i="6"/>
  <c r="K416" i="6" s="1"/>
  <c r="H417" i="6"/>
  <c r="K417" i="6" s="1"/>
  <c r="H418" i="6"/>
  <c r="I418" i="6"/>
  <c r="N418" i="6" s="1"/>
  <c r="H419" i="6"/>
  <c r="K419" i="6" s="1"/>
  <c r="H420" i="6"/>
  <c r="K420" i="6" s="1"/>
  <c r="H421" i="6"/>
  <c r="K421" i="6" s="1"/>
  <c r="K422" i="6"/>
  <c r="K423" i="6"/>
  <c r="K424" i="6"/>
  <c r="H425" i="6"/>
  <c r="K425" i="6" s="1"/>
  <c r="H426" i="6"/>
  <c r="K426" i="6" s="1"/>
  <c r="H427" i="6"/>
  <c r="K427" i="6" s="1"/>
  <c r="H428" i="6"/>
  <c r="K428" i="6" s="1"/>
  <c r="H429" i="6"/>
  <c r="K429" i="6" s="1"/>
  <c r="H430" i="6"/>
  <c r="K430" i="6" s="1"/>
  <c r="H431" i="6"/>
  <c r="K431" i="6" s="1"/>
  <c r="H432" i="6"/>
  <c r="I432" i="6"/>
  <c r="N432" i="6" s="1"/>
  <c r="H433" i="6"/>
  <c r="K433" i="6" s="1"/>
  <c r="H434" i="6"/>
  <c r="K434" i="6" s="1"/>
  <c r="H435" i="6"/>
  <c r="K435" i="6" s="1"/>
  <c r="K436" i="6"/>
  <c r="K437" i="6"/>
  <c r="K438" i="6"/>
  <c r="K439" i="6"/>
  <c r="H440" i="6"/>
  <c r="K440" i="6" s="1"/>
  <c r="H441" i="6"/>
  <c r="K441" i="6" s="1"/>
  <c r="H442" i="6"/>
  <c r="K442" i="6" s="1"/>
  <c r="H443" i="6"/>
  <c r="K443" i="6" s="1"/>
  <c r="H444" i="6"/>
  <c r="K444" i="6" s="1"/>
  <c r="H445" i="6"/>
  <c r="K445" i="6" s="1"/>
  <c r="H446" i="6"/>
  <c r="K446" i="6" s="1"/>
  <c r="H447" i="6"/>
  <c r="K447" i="6" s="1"/>
  <c r="H448" i="6"/>
  <c r="K448" i="6" s="1"/>
  <c r="H449" i="6"/>
  <c r="K449" i="6" s="1"/>
  <c r="H451" i="6"/>
  <c r="K451" i="6" s="1"/>
  <c r="H452" i="6"/>
  <c r="K452" i="6" s="1"/>
  <c r="H453" i="6"/>
  <c r="K453" i="6" s="1"/>
  <c r="K454" i="6"/>
  <c r="K455" i="6"/>
  <c r="H408" i="6"/>
  <c r="K408" i="6" s="1"/>
  <c r="H407" i="6"/>
  <c r="K407" i="6" s="1"/>
  <c r="H406" i="6"/>
  <c r="K406" i="6" s="1"/>
  <c r="K358" i="6"/>
  <c r="H359" i="6"/>
  <c r="K359" i="6" s="1"/>
  <c r="H361" i="6"/>
  <c r="I361" i="6"/>
  <c r="N361" i="6" s="1"/>
  <c r="H362" i="6"/>
  <c r="I362" i="6"/>
  <c r="N362" i="6" s="1"/>
  <c r="H363" i="6"/>
  <c r="K363" i="6" s="1"/>
  <c r="H364" i="6"/>
  <c r="K364" i="6" s="1"/>
  <c r="K365" i="6"/>
  <c r="K366" i="6"/>
  <c r="H367" i="6"/>
  <c r="K367" i="6" s="1"/>
  <c r="H368" i="6"/>
  <c r="K368" i="6" s="1"/>
  <c r="K369" i="6"/>
  <c r="K370" i="6"/>
  <c r="K371" i="6"/>
  <c r="K372" i="6"/>
  <c r="K373" i="6"/>
  <c r="H374" i="6"/>
  <c r="I374" i="6"/>
  <c r="N374" i="6" s="1"/>
  <c r="H375" i="6"/>
  <c r="K375" i="6" s="1"/>
  <c r="H376" i="6"/>
  <c r="K376" i="6" s="1"/>
  <c r="H377" i="6"/>
  <c r="K377" i="6" s="1"/>
  <c r="H378" i="6"/>
  <c r="K378" i="6" s="1"/>
  <c r="H379" i="6"/>
  <c r="K379" i="6" s="1"/>
  <c r="H380" i="6"/>
  <c r="K380" i="6" s="1"/>
  <c r="H381" i="6"/>
  <c r="K381" i="6" s="1"/>
  <c r="H382" i="6"/>
  <c r="K382" i="6" s="1"/>
  <c r="H383" i="6"/>
  <c r="K383" i="6" s="1"/>
  <c r="H384" i="6"/>
  <c r="K384" i="6" s="1"/>
  <c r="H385" i="6"/>
  <c r="K385" i="6" s="1"/>
  <c r="H386" i="6"/>
  <c r="K386" i="6" s="1"/>
  <c r="H387" i="6"/>
  <c r="K387" i="6" s="1"/>
  <c r="H388" i="6"/>
  <c r="K388" i="6" s="1"/>
  <c r="H389" i="6"/>
  <c r="K389" i="6" s="1"/>
  <c r="H390" i="6"/>
  <c r="I390" i="6"/>
  <c r="N390" i="6" s="1"/>
  <c r="H391" i="6"/>
  <c r="K391" i="6" s="1"/>
  <c r="H392" i="6"/>
  <c r="K392" i="6" s="1"/>
  <c r="K393" i="6"/>
  <c r="H394" i="6"/>
  <c r="K394" i="6" s="1"/>
  <c r="H395" i="6"/>
  <c r="K395" i="6" s="1"/>
  <c r="H396" i="6"/>
  <c r="K396" i="6" s="1"/>
  <c r="K397" i="6"/>
  <c r="H398" i="6"/>
  <c r="K398" i="6" s="1"/>
  <c r="K399" i="6"/>
  <c r="K400" i="6"/>
  <c r="H401" i="6"/>
  <c r="K401" i="6" s="1"/>
  <c r="H402" i="6"/>
  <c r="K402" i="6" s="1"/>
  <c r="H403" i="6"/>
  <c r="K403" i="6" s="1"/>
  <c r="K404" i="6"/>
  <c r="H405" i="6"/>
  <c r="K405" i="6" s="1"/>
  <c r="K374" i="6" l="1"/>
  <c r="K432" i="6"/>
  <c r="K418" i="6"/>
  <c r="K412" i="6"/>
  <c r="K413" i="6"/>
  <c r="K390" i="6"/>
  <c r="K362" i="6"/>
  <c r="K361" i="6"/>
  <c r="K409" i="6" l="1"/>
  <c r="K357" i="6"/>
  <c r="H356" i="6"/>
  <c r="K356" i="6" s="1"/>
  <c r="H355" i="6"/>
  <c r="K355" i="6" s="1"/>
  <c r="H354" i="6"/>
  <c r="K354" i="6" s="1"/>
  <c r="H353" i="6"/>
  <c r="K353" i="6" s="1"/>
  <c r="K352" i="6"/>
  <c r="H351" i="6"/>
  <c r="K351" i="6" s="1"/>
  <c r="H350" i="6"/>
  <c r="K350" i="6" s="1"/>
  <c r="H349" i="6"/>
  <c r="K349" i="6" s="1"/>
  <c r="H348" i="6"/>
  <c r="K348" i="6" s="1"/>
  <c r="H347" i="6"/>
  <c r="K347" i="6" s="1"/>
  <c r="H346" i="6"/>
  <c r="K346" i="6" s="1"/>
  <c r="H345" i="6"/>
  <c r="K345" i="6" s="1"/>
  <c r="H344" i="6"/>
  <c r="K344" i="6" s="1"/>
  <c r="H343" i="6"/>
  <c r="K343" i="6" s="1"/>
  <c r="H342" i="6"/>
  <c r="K342" i="6" s="1"/>
  <c r="H341" i="6"/>
  <c r="K341" i="6" s="1"/>
  <c r="H340" i="6"/>
  <c r="K340" i="6" s="1"/>
  <c r="H339" i="6"/>
  <c r="K339" i="6" s="1"/>
  <c r="K338" i="6"/>
  <c r="K337" i="6"/>
  <c r="K336" i="6"/>
  <c r="K335" i="6"/>
  <c r="K334" i="6"/>
  <c r="K333" i="6"/>
  <c r="H332" i="6"/>
  <c r="K332" i="6" s="1"/>
  <c r="K331" i="6"/>
  <c r="K330" i="6"/>
  <c r="K329" i="6"/>
  <c r="H328" i="6"/>
  <c r="K328" i="6" s="1"/>
  <c r="H327" i="6"/>
  <c r="K327" i="6" s="1"/>
  <c r="H326" i="6"/>
  <c r="K326" i="6" s="1"/>
  <c r="H325" i="6"/>
  <c r="K325" i="6" s="1"/>
  <c r="H324" i="6"/>
  <c r="K324" i="6" s="1"/>
  <c r="H323" i="6"/>
  <c r="K323" i="6" s="1"/>
  <c r="I322" i="6"/>
  <c r="N322" i="6" s="1"/>
  <c r="H322" i="6"/>
  <c r="H320" i="6"/>
  <c r="K320" i="6" s="1"/>
  <c r="H319" i="6"/>
  <c r="K319" i="6" s="1"/>
  <c r="H318" i="6"/>
  <c r="K318" i="6" s="1"/>
  <c r="I317" i="6"/>
  <c r="N317" i="6" s="1"/>
  <c r="H317" i="6"/>
  <c r="K315" i="6"/>
  <c r="K309" i="6"/>
  <c r="K308" i="6"/>
  <c r="K307" i="6"/>
  <c r="H306" i="6"/>
  <c r="K306" i="6" s="1"/>
  <c r="K305" i="6"/>
  <c r="K304" i="6"/>
  <c r="K303" i="6"/>
  <c r="H302" i="6"/>
  <c r="K302" i="6" s="1"/>
  <c r="H301" i="6"/>
  <c r="K301" i="6" s="1"/>
  <c r="H300" i="6"/>
  <c r="K300" i="6" s="1"/>
  <c r="I299" i="6"/>
  <c r="N299" i="6" s="1"/>
  <c r="H299" i="6"/>
  <c r="H298" i="6"/>
  <c r="K298" i="6" s="1"/>
  <c r="H297" i="6"/>
  <c r="K297" i="6" s="1"/>
  <c r="H296" i="6"/>
  <c r="K296" i="6" s="1"/>
  <c r="I295" i="6"/>
  <c r="N295" i="6" s="1"/>
  <c r="H295" i="6"/>
  <c r="K294" i="6"/>
  <c r="K293" i="6"/>
  <c r="K292" i="6"/>
  <c r="H291" i="6"/>
  <c r="K291" i="6" s="1"/>
  <c r="H290" i="6"/>
  <c r="K290" i="6" s="1"/>
  <c r="H289" i="6"/>
  <c r="K289" i="6" s="1"/>
  <c r="H288" i="6"/>
  <c r="K288" i="6" s="1"/>
  <c r="H287" i="6"/>
  <c r="K287" i="6" s="1"/>
  <c r="I286" i="6"/>
  <c r="N286" i="6" s="1"/>
  <c r="H286" i="6"/>
  <c r="K285" i="6"/>
  <c r="K284" i="6"/>
  <c r="K282" i="6"/>
  <c r="K281" i="6" s="1"/>
  <c r="K280" i="6"/>
  <c r="K279" i="6"/>
  <c r="H278" i="6"/>
  <c r="K278" i="6" s="1"/>
  <c r="K277" i="6"/>
  <c r="K276" i="6"/>
  <c r="H275" i="6"/>
  <c r="K275" i="6" s="1"/>
  <c r="H274" i="6"/>
  <c r="K274" i="6" s="1"/>
  <c r="I273" i="6"/>
  <c r="N273" i="6" s="1"/>
  <c r="H273" i="6"/>
  <c r="K272" i="6"/>
  <c r="H270" i="6"/>
  <c r="K270" i="6" s="1"/>
  <c r="K269" i="6"/>
  <c r="K268" i="6"/>
  <c r="K267" i="6"/>
  <c r="K266" i="6"/>
  <c r="K265" i="6"/>
  <c r="K264" i="6"/>
  <c r="K263" i="6"/>
  <c r="K262" i="6"/>
  <c r="K261" i="6"/>
  <c r="K260" i="6"/>
  <c r="K259" i="6"/>
  <c r="K258" i="6"/>
  <c r="K257" i="6"/>
  <c r="K256" i="6"/>
  <c r="K255" i="6"/>
  <c r="K254" i="6"/>
  <c r="K253" i="6"/>
  <c r="H252" i="6"/>
  <c r="K252" i="6" s="1"/>
  <c r="H251" i="6"/>
  <c r="K251" i="6" s="1"/>
  <c r="K250" i="6"/>
  <c r="K249" i="6"/>
  <c r="K248" i="6"/>
  <c r="K246" i="6"/>
  <c r="K245" i="6"/>
  <c r="K244" i="6"/>
  <c r="H243" i="6"/>
  <c r="K243" i="6" s="1"/>
  <c r="H242" i="6"/>
  <c r="K242" i="6" s="1"/>
  <c r="H241" i="6"/>
  <c r="K241" i="6" s="1"/>
  <c r="H240" i="6"/>
  <c r="K240" i="6" s="1"/>
  <c r="H239" i="6"/>
  <c r="K239" i="6" s="1"/>
  <c r="H238" i="6"/>
  <c r="K238" i="6" s="1"/>
  <c r="K237" i="6"/>
  <c r="H236" i="6"/>
  <c r="K236" i="6" s="1"/>
  <c r="H235" i="6"/>
  <c r="K235" i="6" s="1"/>
  <c r="H234" i="6"/>
  <c r="K234" i="6" s="1"/>
  <c r="H233" i="6"/>
  <c r="K233" i="6" s="1"/>
  <c r="H232" i="6"/>
  <c r="K232" i="6" s="1"/>
  <c r="H231" i="6"/>
  <c r="K231" i="6" s="1"/>
  <c r="H230" i="6"/>
  <c r="K230" i="6" s="1"/>
  <c r="I229" i="6"/>
  <c r="H229" i="6"/>
  <c r="H228" i="6"/>
  <c r="K228" i="6" s="1"/>
  <c r="H227" i="6"/>
  <c r="K227" i="6" s="1"/>
  <c r="H226" i="6"/>
  <c r="K226" i="6" s="1"/>
  <c r="H225" i="6"/>
  <c r="K225" i="6" s="1"/>
  <c r="I224" i="6"/>
  <c r="H224" i="6"/>
  <c r="H223" i="6"/>
  <c r="K223" i="6" s="1"/>
  <c r="H222" i="6"/>
  <c r="K222" i="6" s="1"/>
  <c r="K171" i="6"/>
  <c r="H122" i="6"/>
  <c r="K220" i="6"/>
  <c r="K219" i="6"/>
  <c r="K218" i="6"/>
  <c r="H217" i="6"/>
  <c r="K217" i="6" s="1"/>
  <c r="I216" i="6"/>
  <c r="N216" i="6" s="1"/>
  <c r="H216" i="6"/>
  <c r="I215" i="6"/>
  <c r="N215" i="6" s="1"/>
  <c r="H215" i="6"/>
  <c r="I214" i="6"/>
  <c r="N214" i="6" s="1"/>
  <c r="H214" i="6"/>
  <c r="K213" i="6"/>
  <c r="K212" i="6"/>
  <c r="K211" i="6"/>
  <c r="H210" i="6"/>
  <c r="K210" i="6" s="1"/>
  <c r="H209" i="6"/>
  <c r="K209" i="6" s="1"/>
  <c r="H208" i="6"/>
  <c r="K208" i="6" s="1"/>
  <c r="H207" i="6"/>
  <c r="K207" i="6" s="1"/>
  <c r="H206" i="6"/>
  <c r="K206" i="6" s="1"/>
  <c r="H205" i="6"/>
  <c r="K205" i="6" s="1"/>
  <c r="K204" i="6"/>
  <c r="H203" i="6"/>
  <c r="K203" i="6" s="1"/>
  <c r="H202" i="6"/>
  <c r="K202" i="6" s="1"/>
  <c r="I201" i="6"/>
  <c r="N201" i="6" s="1"/>
  <c r="H201" i="6"/>
  <c r="H200" i="6"/>
  <c r="K200" i="6" s="1"/>
  <c r="H199" i="6"/>
  <c r="K199" i="6" s="1"/>
  <c r="I198" i="6"/>
  <c r="N198" i="6" s="1"/>
  <c r="H198" i="6"/>
  <c r="H197" i="6"/>
  <c r="K197" i="6" s="1"/>
  <c r="H196" i="6"/>
  <c r="K196" i="6" s="1"/>
  <c r="H195" i="6"/>
  <c r="K195" i="6" s="1"/>
  <c r="H194" i="6"/>
  <c r="K194" i="6" s="1"/>
  <c r="K193" i="6"/>
  <c r="K191" i="6"/>
  <c r="K190" i="6" s="1"/>
  <c r="N224" i="6" l="1"/>
  <c r="K224" i="6"/>
  <c r="K229" i="6"/>
  <c r="K215" i="6"/>
  <c r="K201" i="6"/>
  <c r="K299" i="6"/>
  <c r="K216" i="6"/>
  <c r="K198" i="6"/>
  <c r="K322" i="6"/>
  <c r="K247" i="6"/>
  <c r="K317" i="6"/>
  <c r="K295" i="6"/>
  <c r="K214" i="6"/>
  <c r="K273" i="6"/>
  <c r="K271" i="6" s="1"/>
  <c r="K286" i="6"/>
  <c r="K283" i="6" l="1"/>
  <c r="K221" i="6"/>
  <c r="K314" i="6"/>
  <c r="K192" i="6"/>
  <c r="H153" i="6"/>
  <c r="H152" i="6"/>
  <c r="I155" i="6"/>
  <c r="N155" i="6" s="1"/>
  <c r="H144" i="6"/>
  <c r="K144" i="6" s="1"/>
  <c r="H143" i="6"/>
  <c r="K143" i="6" s="1"/>
  <c r="H142" i="6"/>
  <c r="K142" i="6" s="1"/>
  <c r="H141" i="6"/>
  <c r="K141" i="6" s="1"/>
  <c r="H140" i="6"/>
  <c r="K140" i="6" s="1"/>
  <c r="I102" i="6" l="1"/>
  <c r="N102" i="6" s="1"/>
  <c r="I97" i="6"/>
  <c r="N97" i="6" s="1"/>
  <c r="K122" i="6"/>
  <c r="I121" i="6"/>
  <c r="N121" i="6" s="1"/>
  <c r="H121" i="6"/>
  <c r="H186" i="6"/>
  <c r="K186" i="6" s="1"/>
  <c r="I185" i="6"/>
  <c r="N185" i="6" s="1"/>
  <c r="H185" i="6"/>
  <c r="I184" i="6"/>
  <c r="N184" i="6" s="1"/>
  <c r="H184" i="6"/>
  <c r="I183" i="6"/>
  <c r="N183" i="6" s="1"/>
  <c r="H183" i="6"/>
  <c r="K121" i="6" l="1"/>
  <c r="K185" i="6"/>
  <c r="K184" i="6"/>
  <c r="K183" i="6"/>
  <c r="H182" i="6" l="1"/>
  <c r="K182" i="6" s="1"/>
  <c r="H181" i="6"/>
  <c r="K181" i="6" s="1"/>
  <c r="H151" i="6"/>
  <c r="H137" i="6"/>
  <c r="K137" i="6" s="1"/>
  <c r="H136" i="6"/>
  <c r="K136" i="6" s="1"/>
  <c r="H135" i="6"/>
  <c r="K135" i="6" s="1"/>
  <c r="H134" i="6"/>
  <c r="K134" i="6" s="1"/>
  <c r="K133" i="6"/>
  <c r="H132" i="6"/>
  <c r="K132" i="6" s="1"/>
  <c r="H131" i="6"/>
  <c r="K131" i="6" s="1"/>
  <c r="H130" i="6"/>
  <c r="K130" i="6" s="1"/>
  <c r="H129" i="6"/>
  <c r="K129" i="6" s="1"/>
  <c r="H128" i="6"/>
  <c r="K128" i="6" s="1"/>
  <c r="H127" i="6"/>
  <c r="K127" i="6" s="1"/>
  <c r="K126" i="6"/>
  <c r="K125" i="6"/>
  <c r="K124" i="6"/>
  <c r="H123" i="6"/>
  <c r="K123" i="6" s="1"/>
  <c r="H189" i="6" l="1"/>
  <c r="K189" i="6" s="1"/>
  <c r="K188" i="6"/>
  <c r="K187" i="6"/>
  <c r="H180" i="6"/>
  <c r="K180" i="6" s="1"/>
  <c r="K179" i="6"/>
  <c r="H178" i="6"/>
  <c r="K178" i="6" s="1"/>
  <c r="H177" i="6"/>
  <c r="K177" i="6" s="1"/>
  <c r="H176" i="6"/>
  <c r="K176" i="6" s="1"/>
  <c r="K175" i="6"/>
  <c r="K174" i="6"/>
  <c r="K173" i="6"/>
  <c r="H172" i="6"/>
  <c r="K172" i="6" s="1"/>
  <c r="K170" i="6"/>
  <c r="H169" i="6"/>
  <c r="K169" i="6" s="1"/>
  <c r="H168" i="6"/>
  <c r="K168" i="6" s="1"/>
  <c r="H167" i="6"/>
  <c r="K167" i="6" s="1"/>
  <c r="H166" i="6"/>
  <c r="K166" i="6" s="1"/>
  <c r="H165" i="6"/>
  <c r="K165" i="6" s="1"/>
  <c r="H164" i="6"/>
  <c r="K164" i="6" s="1"/>
  <c r="H163" i="6"/>
  <c r="K163" i="6" s="1"/>
  <c r="H162" i="6"/>
  <c r="K162" i="6" s="1"/>
  <c r="I161" i="6"/>
  <c r="N161" i="6" s="1"/>
  <c r="H161" i="6"/>
  <c r="H160" i="6"/>
  <c r="K160" i="6" s="1"/>
  <c r="H159" i="6"/>
  <c r="K159" i="6" s="1"/>
  <c r="H158" i="6"/>
  <c r="K158" i="6" s="1"/>
  <c r="H157" i="6"/>
  <c r="K157" i="6" s="1"/>
  <c r="H156" i="6"/>
  <c r="K156" i="6" s="1"/>
  <c r="H155" i="6"/>
  <c r="H154" i="6"/>
  <c r="K154" i="6" s="1"/>
  <c r="K153" i="6"/>
  <c r="K152" i="6"/>
  <c r="I151" i="6"/>
  <c r="H150" i="6"/>
  <c r="K150" i="6" s="1"/>
  <c r="H149" i="6"/>
  <c r="K149" i="6" s="1"/>
  <c r="H148" i="6"/>
  <c r="K148" i="6" s="1"/>
  <c r="I147" i="6"/>
  <c r="N147" i="6" s="1"/>
  <c r="H147" i="6"/>
  <c r="K146" i="6"/>
  <c r="H120" i="6"/>
  <c r="K120" i="6" s="1"/>
  <c r="K139" i="6"/>
  <c r="K138" i="6"/>
  <c r="K119" i="6"/>
  <c r="K118" i="6"/>
  <c r="H117" i="6"/>
  <c r="K117" i="6" s="1"/>
  <c r="K116" i="6"/>
  <c r="K114" i="6"/>
  <c r="K113" i="6"/>
  <c r="K112" i="6"/>
  <c r="K111" i="6"/>
  <c r="H110" i="6"/>
  <c r="K110" i="6" s="1"/>
  <c r="H109" i="6"/>
  <c r="K109" i="6" s="1"/>
  <c r="H108" i="6"/>
  <c r="K108" i="6" s="1"/>
  <c r="H107" i="6"/>
  <c r="K107" i="6" s="1"/>
  <c r="H106" i="6"/>
  <c r="K106" i="6" s="1"/>
  <c r="H105" i="6"/>
  <c r="K105" i="6" s="1"/>
  <c r="H104" i="6"/>
  <c r="K104" i="6" s="1"/>
  <c r="H103" i="6"/>
  <c r="K103" i="6" s="1"/>
  <c r="H102" i="6"/>
  <c r="H101" i="6"/>
  <c r="K101" i="6" s="1"/>
  <c r="H100" i="6"/>
  <c r="K100" i="6" s="1"/>
  <c r="H99" i="6"/>
  <c r="K99" i="6" s="1"/>
  <c r="H98" i="6"/>
  <c r="K98" i="6" s="1"/>
  <c r="H97" i="6"/>
  <c r="K97" i="6" s="1"/>
  <c r="K96" i="6"/>
  <c r="K94" i="6"/>
  <c r="K93" i="6"/>
  <c r="K92" i="6"/>
  <c r="K91" i="6"/>
  <c r="H90" i="6"/>
  <c r="K90" i="6" s="1"/>
  <c r="K89" i="6"/>
  <c r="K87" i="6"/>
  <c r="K86" i="6"/>
  <c r="H84" i="6"/>
  <c r="K84" i="6" s="1"/>
  <c r="K83" i="6"/>
  <c r="H82" i="6"/>
  <c r="K82" i="6" s="1"/>
  <c r="H81" i="6"/>
  <c r="K81" i="6" s="1"/>
  <c r="H80" i="6"/>
  <c r="K80" i="6" s="1"/>
  <c r="H79" i="6"/>
  <c r="K79" i="6" s="1"/>
  <c r="I78" i="6"/>
  <c r="N78" i="6" s="1"/>
  <c r="H78" i="6"/>
  <c r="K77" i="6"/>
  <c r="H72" i="6"/>
  <c r="K72" i="6" s="1"/>
  <c r="H71" i="6"/>
  <c r="K71" i="6" s="1"/>
  <c r="I75" i="6"/>
  <c r="N75" i="6" s="1"/>
  <c r="H75" i="6"/>
  <c r="K74" i="6"/>
  <c r="K73" i="6"/>
  <c r="K70" i="6"/>
  <c r="K66" i="6"/>
  <c r="K65" i="6"/>
  <c r="K151" i="6" l="1"/>
  <c r="N151" i="6"/>
  <c r="K147" i="6"/>
  <c r="K155" i="6"/>
  <c r="K161" i="6"/>
  <c r="K75" i="6"/>
  <c r="K69" i="6" s="1"/>
  <c r="K78" i="6"/>
  <c r="K76" i="6" s="1"/>
  <c r="K85" i="6"/>
  <c r="K88" i="6"/>
  <c r="K102" i="6"/>
  <c r="K95" i="6" s="1"/>
  <c r="H68" i="6"/>
  <c r="K68" i="6" s="1"/>
  <c r="H67" i="6"/>
  <c r="K67" i="6" s="1"/>
  <c r="H64" i="6"/>
  <c r="K64" i="6" s="1"/>
  <c r="H63" i="6"/>
  <c r="K63" i="6" s="1"/>
  <c r="H62" i="6"/>
  <c r="K62" i="6" s="1"/>
  <c r="H61" i="6"/>
  <c r="K61" i="6" s="1"/>
  <c r="I60" i="6"/>
  <c r="N60" i="6" s="1"/>
  <c r="H60" i="6"/>
  <c r="H59" i="6"/>
  <c r="K59" i="6" s="1"/>
  <c r="H58" i="6"/>
  <c r="K58" i="6" s="1"/>
  <c r="H57" i="6"/>
  <c r="K57" i="6" s="1"/>
  <c r="I56" i="6"/>
  <c r="N56" i="6" s="1"/>
  <c r="H56" i="6"/>
  <c r="K55" i="6"/>
  <c r="K54" i="6"/>
  <c r="K53" i="6"/>
  <c r="H52" i="6"/>
  <c r="K52" i="6" s="1"/>
  <c r="H51" i="6"/>
  <c r="K51" i="6" s="1"/>
  <c r="H50" i="6"/>
  <c r="K50" i="6" s="1"/>
  <c r="H49" i="6"/>
  <c r="K49" i="6" s="1"/>
  <c r="H48" i="6"/>
  <c r="K48" i="6" s="1"/>
  <c r="H47" i="6"/>
  <c r="K47" i="6" s="1"/>
  <c r="K46" i="6"/>
  <c r="K44" i="6"/>
  <c r="K43" i="6"/>
  <c r="H42" i="6"/>
  <c r="K42" i="6" s="1"/>
  <c r="K41" i="6"/>
  <c r="K145" i="6" l="1"/>
  <c r="K56" i="6"/>
  <c r="K60" i="6"/>
  <c r="K40" i="6"/>
  <c r="K45" i="6" l="1"/>
  <c r="K689" i="6" s="1"/>
  <c r="K690" i="6" l="1"/>
  <c r="K691" i="6"/>
  <c r="K69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tc={2828E7A9-8B88-4A59-AFB9-064759E4FBDB}</author>
    <author>tc={9A220D0F-F66F-4798-9E59-7F16ABF177A8}</author>
    <author>tc={6B21967F-000A-4EEC-A555-769C8C9D0004}</author>
    <author>tc={77E4E855-6216-4B2D-9AC0-F8EB6996121E}</author>
    <author>tc={6D48AB76-E0FA-4A8A-A48C-76CA4AE5E27A}</author>
    <author>tc={920720FA-99D4-4D41-9FD8-B33200D9F191}</author>
    <author>tc={5A958B2F-98B0-491B-A20D-94E3B12F61E4}</author>
    <author>tc={4C7E6D66-4D1F-4DB6-B5AF-5B7CF4D4D433}</author>
  </authors>
  <commentList>
    <comment ref="I115" authorId="0" shapeId="0" xr:uid="{2828E7A9-8B88-4A59-AFB9-064759E4FBDB}">
      <text>
        <t>[Threaded comment]
Your version of Excel allows you to read this threaded comment; however, any edits to it will get removed if the file is opened in a newer version of Excel. Learn more: https://go.microsoft.com/fwlink/?linkid=870924
Comment:
    Phòng NN thẩm định</t>
      </text>
    </comment>
    <comment ref="I128" authorId="1" shapeId="0" xr:uid="{9A220D0F-F66F-4798-9E59-7F16ABF177A8}">
      <text>
        <t>[Threaded comment]
Your version of Excel allows you to read this threaded comment; however, any edits to it will get removed if the file is opened in a newer version of Excel. Learn more: https://go.microsoft.com/fwlink/?linkid=870924
Comment:
    KTHT thẩm định</t>
      </text>
    </comment>
    <comment ref="I264" authorId="2" shapeId="0" xr:uid="{6B21967F-000A-4EEC-A555-769C8C9D0004}">
      <text>
        <t>[Threaded comment]
Your version of Excel allows you to read this threaded comment; however, any edits to it will get removed if the file is opened in a newer version of Excel. Learn more: https://go.microsoft.com/fwlink/?linkid=870924
Comment:
    Phòng NN thẩm định</t>
      </text>
    </comment>
    <comment ref="I267" authorId="3" shapeId="0" xr:uid="{77E4E855-6216-4B2D-9AC0-F8EB6996121E}">
      <text>
        <t>[Threaded comment]
Your version of Excel allows you to read this threaded comment; however, any edits to it will get removed if the file is opened in a newer version of Excel. Learn more: https://go.microsoft.com/fwlink/?linkid=870924
Comment:
    Phòng NN thẩm định</t>
      </text>
    </comment>
    <comment ref="I332" authorId="4" shapeId="0" xr:uid="{6D48AB76-E0FA-4A8A-A48C-76CA4AE5E27A}">
      <text>
        <t>[Threaded comment]
Your version of Excel allows you to read this threaded comment; however, any edits to it will get removed if the file is opened in a newer version of Excel. Learn more: https://go.microsoft.com/fwlink/?linkid=870924
Comment:
    KTHT thẩm định điều chỉnh</t>
      </text>
    </comment>
    <comment ref="I442" authorId="5" shapeId="0" xr:uid="{920720FA-99D4-4D41-9FD8-B33200D9F191}">
      <text>
        <t>[Threaded comment]
Your version of Excel allows you to read this threaded comment; however, any edits to it will get removed if the file is opened in a newer version of Excel. Learn more: https://go.microsoft.com/fwlink/?linkid=870924
Comment:
    KTHT thẩm định điều chỉnh</t>
      </text>
    </comment>
    <comment ref="I581" authorId="6" shapeId="0" xr:uid="{5A958B2F-98B0-491B-A20D-94E3B12F61E4}">
      <text>
        <t>[Threaded comment]
Your version of Excel allows you to read this threaded comment; however, any edits to it will get removed if the file is opened in a newer version of Excel. Learn more: https://go.microsoft.com/fwlink/?linkid=870924
Comment:
    KTHT thẩm định</t>
      </text>
    </comment>
    <comment ref="I685" authorId="7" shapeId="0" xr:uid="{4C7E6D66-4D1F-4DB6-B5AF-5B7CF4D4D433}">
      <text>
        <t>[Threaded comment]
Your version of Excel allows you to read this threaded comment; however, any edits to it will get removed if the file is opened in a newer version of Excel. Learn more: https://go.microsoft.com/fwlink/?linkid=870924
Comment:
    KTHT thẩm định</t>
      </text>
    </comment>
  </commentList>
</comments>
</file>

<file path=xl/sharedStrings.xml><?xml version="1.0" encoding="utf-8"?>
<sst xmlns="http://schemas.openxmlformats.org/spreadsheetml/2006/main" count="2043" uniqueCount="849">
  <si>
    <t>TT</t>
  </si>
  <si>
    <t>Nội dung</t>
  </si>
  <si>
    <t>Số thửa</t>
  </si>
  <si>
    <t>Số tờ</t>
  </si>
  <si>
    <t>ĐVT</t>
  </si>
  <si>
    <t>Phân loại</t>
  </si>
  <si>
    <t>Quy cách</t>
  </si>
  <si>
    <t>Số lượng</t>
  </si>
  <si>
    <t>Thành tiền</t>
  </si>
  <si>
    <t>Đất ở</t>
  </si>
  <si>
    <t>m2</t>
  </si>
  <si>
    <t>Đơn giá</t>
  </si>
  <si>
    <t>Giếng khoan</t>
  </si>
  <si>
    <t>Xí bệt</t>
  </si>
  <si>
    <t>m</t>
  </si>
  <si>
    <t>m3</t>
  </si>
  <si>
    <t>bộ</t>
  </si>
  <si>
    <t>Bình nóng lạnh</t>
  </si>
  <si>
    <t>E</t>
  </si>
  <si>
    <t>B</t>
  </si>
  <si>
    <t>Trần nhựa</t>
  </si>
  <si>
    <t>Trần tôn</t>
  </si>
  <si>
    <t>Chuối không buồng</t>
  </si>
  <si>
    <t>Chuối có buồng</t>
  </si>
  <si>
    <t>Đinh lăng</t>
  </si>
  <si>
    <t>Xà cừ</t>
  </si>
  <si>
    <t>D90</t>
  </si>
  <si>
    <t>C</t>
  </si>
  <si>
    <t>1*1</t>
  </si>
  <si>
    <t>Mái tôn vì kèo sắt</t>
  </si>
  <si>
    <t>Cổng sắt</t>
  </si>
  <si>
    <t>cây</t>
  </si>
  <si>
    <t>2*1</t>
  </si>
  <si>
    <t>Nhãn</t>
  </si>
  <si>
    <t>Xoan</t>
  </si>
  <si>
    <t>D</t>
  </si>
  <si>
    <t>bụi</t>
  </si>
  <si>
    <t>Bưởi</t>
  </si>
  <si>
    <t>Cánh cổng sắt</t>
  </si>
  <si>
    <t>D40</t>
  </si>
  <si>
    <t>D15</t>
  </si>
  <si>
    <t>Xà lách</t>
  </si>
  <si>
    <t>Tường rào xây đá hộc</t>
  </si>
  <si>
    <t>#200</t>
  </si>
  <si>
    <t>Tường rào xây gạch chỉ 220</t>
  </si>
  <si>
    <t>- Giảm phần  lát gạch XMH</t>
  </si>
  <si>
    <t>d=&lt;50mm</t>
  </si>
  <si>
    <t>tháng</t>
  </si>
  <si>
    <t xml:space="preserve">Hỗ trợ chi phí di chuyển tài sản </t>
  </si>
  <si>
    <t>hộ</t>
  </si>
  <si>
    <t>#150</t>
  </si>
  <si>
    <t xml:space="preserve">Phần trụ cổng đổ BTCT </t>
  </si>
  <si>
    <t>Mái tôn, vỉ kèo sắt</t>
  </si>
  <si>
    <t>Nền bê tông đá 1*2</t>
  </si>
  <si>
    <t>Tường xây gạch chỉ 220, bổ trụ</t>
  </si>
  <si>
    <t>Giềng</t>
  </si>
  <si>
    <t>- Tăng thêm phần  lát gạch bát</t>
  </si>
  <si>
    <t>0.2*0.2*3*2</t>
  </si>
  <si>
    <t>0.4*0.4*3*2-0.2*0.2*3*2</t>
  </si>
  <si>
    <t>Phần xây trát giếng bằng gạch chỉ 220</t>
  </si>
  <si>
    <t>- Tăng thêm phần  lát gạch ceramic 400*400mm</t>
  </si>
  <si>
    <t xml:space="preserve">m3 </t>
  </si>
  <si>
    <t>5*3.5</t>
  </si>
  <si>
    <t xml:space="preserve">Dây diện nguồn vào nhà, tiết diện dây =&lt;6mm </t>
  </si>
  <si>
    <t>Phần giếng khoan qua đá</t>
  </si>
  <si>
    <t>Cánh cửa sắt</t>
  </si>
  <si>
    <t>Lê Thị Bính</t>
  </si>
  <si>
    <t>Tường rào xây gạch chỉ 220, bổ trụ</t>
  </si>
  <si>
    <t>3*1,85</t>
  </si>
  <si>
    <t>Bầu</t>
  </si>
  <si>
    <t>Vũ Đình Cấp</t>
  </si>
  <si>
    <t>Phần trụ cổng xây gạch chỉ</t>
  </si>
  <si>
    <t>2.1*2.2</t>
  </si>
  <si>
    <t>3.5*6.2*0.2</t>
  </si>
  <si>
    <t>Tường xây gach chỉ 220, bổ trụ</t>
  </si>
  <si>
    <t>2.2*2.9+2.6*3.5</t>
  </si>
  <si>
    <t>Tường xây gạch chỉ 110, bổ trụ (bồn hoa)</t>
  </si>
  <si>
    <t>2.6*0.4</t>
  </si>
  <si>
    <t>Thiên lý</t>
  </si>
  <si>
    <t>5.3*5.1</t>
  </si>
  <si>
    <t>3.1*2.3</t>
  </si>
  <si>
    <t>Nền lát gạch chỉ (sân)</t>
  </si>
  <si>
    <t>Nhà xây (Cả móng) gạch chỉ 220, mái lợp ngói, quét vôi các mầu, nền lát gạch bát + ceramic 400*400mm, điện chiếu sáng hoàn chỉnh, cao 3.6m</t>
  </si>
  <si>
    <t>3.6*5.6+10.5*6.1</t>
  </si>
  <si>
    <t>3.1*5</t>
  </si>
  <si>
    <t>10*5.5</t>
  </si>
  <si>
    <t>3.1*5+10*5.5</t>
  </si>
  <si>
    <t>10.5*1</t>
  </si>
  <si>
    <t>1.7*1.9</t>
  </si>
  <si>
    <t>Nền bê tông đá 1*2 (sân)</t>
  </si>
  <si>
    <t>Nhà kho xây tường 220, nền bê tông đá 1*2, mái lợp Fiprociment (nhà bếp)</t>
  </si>
  <si>
    <t>4.2*2.2</t>
  </si>
  <si>
    <t>Trần Thị Hằng</t>
  </si>
  <si>
    <t>(19.3*3.10)+(2*3.1)</t>
  </si>
  <si>
    <t>(6.7+3.4)*2</t>
  </si>
  <si>
    <t>D30</t>
  </si>
  <si>
    <t>Nhà bếp tường xây gạch không nung 220, mái fiprociment, nền xi măng</t>
  </si>
  <si>
    <t>4*8.5</t>
  </si>
  <si>
    <t>Hàn Thị Tình</t>
  </si>
  <si>
    <t>Bán bình lợp tôn, tường xây gạch chỉ 110, tường trát vữa, quét ve các mầu, 1/3 lát gạch ceramic 400*400, 2/3 lát gạch bát, cao 3,6m</t>
  </si>
  <si>
    <t>4,4*8,1</t>
  </si>
  <si>
    <t>- Tăng thêm phần lát gạch ceramic 400*400mm</t>
  </si>
  <si>
    <t>4,2*2,7</t>
  </si>
  <si>
    <t>- Tăng thêm phần lát gạch bát</t>
  </si>
  <si>
    <t>4,2*5,2</t>
  </si>
  <si>
    <t>4,2*7,9</t>
  </si>
  <si>
    <t>-Giảm phần tường không xây gạch 110 của bán bình</t>
  </si>
  <si>
    <t>4*3,6</t>
  </si>
  <si>
    <t>Tấm đan đổ BTCT đá 1*2</t>
  </si>
  <si>
    <t>4,4*2*0,15</t>
  </si>
  <si>
    <t xml:space="preserve"> Đỗ Thị Phương</t>
  </si>
  <si>
    <t>Bòng bòng</t>
  </si>
  <si>
    <t>Hàn Thị Hương</t>
  </si>
  <si>
    <t>22*2,9</t>
  </si>
  <si>
    <t>Chè</t>
  </si>
  <si>
    <t>cụm</t>
  </si>
  <si>
    <t>Nguyễn Ngọc Quế</t>
  </si>
  <si>
    <t>Nhà xây tường dày 220 quét vôi ve nền gạch men 40*40cm mái ngói cao 4,2m, điện chiếu sáng hoàn chỉnh</t>
  </si>
  <si>
    <t>7.1*8.9</t>
  </si>
  <si>
    <t>6.6*8.5</t>
  </si>
  <si>
    <t xml:space="preserve">Gác xếp bằng gỗ xoan </t>
  </si>
  <si>
    <t>3.4*3</t>
  </si>
  <si>
    <t>4.8*4+ 3.4*3</t>
  </si>
  <si>
    <t>8.4*5</t>
  </si>
  <si>
    <t>7.9*4.5</t>
  </si>
  <si>
    <t>Phần Trụ cổng xây gạch chỉ</t>
  </si>
  <si>
    <t>0.3*0.3*1.8*2-0.15*0.15*1.8*2</t>
  </si>
  <si>
    <t>0.15*0.15*1.8*2</t>
  </si>
  <si>
    <t>1.8*1.7</t>
  </si>
  <si>
    <t>5.5*2.5*0.1</t>
  </si>
  <si>
    <t>5.5*1.8+ 12.9*2.6</t>
  </si>
  <si>
    <t xml:space="preserve">Bếp xây tường dày 220 mái ngói nền bê tông </t>
  </si>
  <si>
    <t>4.5*4.2+5.8*4.6</t>
  </si>
  <si>
    <t>Cây sung</t>
  </si>
  <si>
    <t>Cây</t>
  </si>
  <si>
    <t>Cây xoan</t>
  </si>
  <si>
    <t>D20</t>
  </si>
  <si>
    <t>Gấc</t>
  </si>
  <si>
    <t>7.4*8.9*0.15</t>
  </si>
  <si>
    <t>sâu 60m</t>
  </si>
  <si>
    <t>(3.1+7.7+5.1)*1.9</t>
  </si>
  <si>
    <t>Trần Thị Gấm</t>
  </si>
  <si>
    <t>Nhà xây (cả móng) tường xây gạch đất nung hoặc gạch không nung đạt quy chuẩn, dày 220, tường trát vữa, quét vôi các màu, nền lát gạch bát, lắp điện chiếu sáng hoàn chỉnh, mái lợp tôn, cao 3,6m</t>
  </si>
  <si>
    <t>4.3*3.6</t>
  </si>
  <si>
    <t>3.8*3.1</t>
  </si>
  <si>
    <t>Nhà xây (cả móng) tường xây gạch đất nung hoặc gạch không nung đạt quy chuẩn, dày 220, tường trát vữa, quét vôi các màu, nền lát gạch bát, lắp điện chiếu sáng hoàn chỉnh, mái lợp ngói, cao 3.9m</t>
  </si>
  <si>
    <t>8.8*6.4</t>
  </si>
  <si>
    <t>Nhà xây (cả móng) tường xây gạch đất nung hoặc gạch không nung đạt quy chuẩn, dày 220, tường trát vữa, quét vôi các màu, nền lát gạch bát, lắp điện chiếu sáng hoàn chỉnh, mái lợp ngói, cao 3.6m</t>
  </si>
  <si>
    <t>4.7*8.4</t>
  </si>
  <si>
    <t>4.1*8.1</t>
  </si>
  <si>
    <t>Ốp gạch ceramic 200*250mm</t>
  </si>
  <si>
    <t>(3.5*1.7)*2</t>
  </si>
  <si>
    <t>Tấm đan BTCT (bàn bếp)</t>
  </si>
  <si>
    <t>3.5*0.6*0.1</t>
  </si>
  <si>
    <t>Nhà bếp tường xây gạch 220, nền gạch bát, mái fiprociment</t>
  </si>
  <si>
    <t>5.5*6.2</t>
  </si>
  <si>
    <t>5.7*2.5</t>
  </si>
  <si>
    <t>5.2*2</t>
  </si>
  <si>
    <t>7.7*14*0.1</t>
  </si>
  <si>
    <t>Chuồng trại tường xây gạch 110, nền BTXM, mái fiprociment</t>
  </si>
  <si>
    <t>5.3*5.7</t>
  </si>
  <si>
    <t>Nhà tắm tường xây gạch chỉ, mái BTCT đổ tại chỗ, tường ốp gạch men, nền gạch chống trơn</t>
  </si>
  <si>
    <t>2.5*2.8</t>
  </si>
  <si>
    <t>Bể nước tường xây 220</t>
  </si>
  <si>
    <t>2*(2.8+2.5)*1.7*0.22</t>
  </si>
  <si>
    <t>Tấm đan BTCT đáy bể</t>
  </si>
  <si>
    <t>2.8*2.5*0.1</t>
  </si>
  <si>
    <t>Nền bê tống đá 1*2</t>
  </si>
  <si>
    <t>M150</t>
  </si>
  <si>
    <t>4.3*1.8*0.1</t>
  </si>
  <si>
    <t xml:space="preserve">Giếng khoan </t>
  </si>
  <si>
    <t>1.9*2.1</t>
  </si>
  <si>
    <t>Dây điện ngoài nhà</t>
  </si>
  <si>
    <t>Mái fiprociment</t>
  </si>
  <si>
    <t>4.3*0.8</t>
  </si>
  <si>
    <t>Ống thoát nước nhựa PVC</t>
  </si>
  <si>
    <t>2*20</t>
  </si>
  <si>
    <t>Bể phốt tường xây 220</t>
  </si>
  <si>
    <t>2*(2.5+2.8)*1.5*0.22</t>
  </si>
  <si>
    <t>5*0.5</t>
  </si>
  <si>
    <t>2.5*2.8*2*0.1</t>
  </si>
  <si>
    <t>Tường xây đá hộc</t>
  </si>
  <si>
    <t>Nhà tắm + nhà vệ sinh xây tường gạch chỉ 220, mái đổ BTCT, nền lát gạch chống trơn, tường ốp gạch ceramic</t>
  </si>
  <si>
    <t>3.1*4</t>
  </si>
  <si>
    <t>Chậu rửa (lavabo)</t>
  </si>
  <si>
    <t>Bệ để téc nước xây gạch chỉ (xây đặc)</t>
  </si>
  <si>
    <t>1.1*1.3*1</t>
  </si>
  <si>
    <t>Chuồng trại xây gạch chỉ 110, nền lát gạch bát, mái lợp Fiprocimnet</t>
  </si>
  <si>
    <t>3.7*6</t>
  </si>
  <si>
    <t>2*(3.2+1)</t>
  </si>
  <si>
    <t>2*(1.4+1.3)*1.7*0.11</t>
  </si>
  <si>
    <t>Bể nước xây gạch chỉ 110</t>
  </si>
  <si>
    <t>Tấm đan BTCT đá 1*2 (đáy + nắp bể nước)</t>
  </si>
  <si>
    <t>1.4*1.3*0.1</t>
  </si>
  <si>
    <t>6*3.2*0.2</t>
  </si>
  <si>
    <t>Bậc xây gạch chỉ (xây đặc)</t>
  </si>
  <si>
    <t>0.6*0.7*4</t>
  </si>
  <si>
    <t>2*(3.1+3.5)*1.5*0.11</t>
  </si>
  <si>
    <t>Bể phốt xây gạch chỉ 110</t>
  </si>
  <si>
    <t>Tấm đan BTCT đá 1*2 (đáy + nắp bể phốt)</t>
  </si>
  <si>
    <t>3.1*3.5*0.1</t>
  </si>
  <si>
    <t>6*3.2</t>
  </si>
  <si>
    <t>9.4*6.4</t>
  </si>
  <si>
    <t xml:space="preserve">Nhà vệ sinh 1 ngăn, tường xây gạch chỉ </t>
  </si>
  <si>
    <t>1.6*1.7</t>
  </si>
  <si>
    <t>2*(2+3.7)*1.3*0.22</t>
  </si>
  <si>
    <t>Khối xây gạch chỉ 220 (xây hố phân)</t>
  </si>
  <si>
    <t>Khối đất giếng đào sâu 8m</t>
  </si>
  <si>
    <t>giếng sâu 11m</t>
  </si>
  <si>
    <t>0,5*0,5*3,14*8</t>
  </si>
  <si>
    <t>Khối đất giếng đào sâu từ &gt;8-10m</t>
  </si>
  <si>
    <t>0,5*0,5*3,14*2</t>
  </si>
  <si>
    <t>Khối đất giếng đào sâu từ &gt;10m</t>
  </si>
  <si>
    <t>0,5*0,5*3,14*1</t>
  </si>
  <si>
    <t>0,5*0,5*3,14*11-0,3*0,3*3,14*11</t>
  </si>
  <si>
    <t>giếng sâu 8m</t>
  </si>
  <si>
    <t>Nhà xây tường dày 220 quét vôi ve nền gạch bát mái ngói cao 3m, điện chiếu sáng hoàn chỉnh</t>
  </si>
  <si>
    <t>(8*3+6.8*2)*0.33*0.6</t>
  </si>
  <si>
    <t>Móng nhà xây gạch chỉ</t>
  </si>
  <si>
    <t>Đắp cát móng nhà</t>
  </si>
  <si>
    <t>(8*6.8-7.4448)*0.6</t>
  </si>
  <si>
    <t>(8.4*2+5*3)*0.33*0.4</t>
  </si>
  <si>
    <t>(8.4*5-4.1976)*0.4</t>
  </si>
  <si>
    <t>Móng tường rào xây đá hộc</t>
  </si>
  <si>
    <t>(5.5+12.9+3.1+7.7+5.1)*0.45*0.5</t>
  </si>
  <si>
    <t>Tấm đan BTCT đáy+nắp (bể phốt)</t>
  </si>
  <si>
    <t>9.1*6.1</t>
  </si>
  <si>
    <t>Vũ Duy Thắng</t>
  </si>
  <si>
    <t>Nguyễn Viết Xuân</t>
  </si>
  <si>
    <t>Chung mảnh đất và diện tích sử dụng với hộ Trần Thị Hương</t>
  </si>
  <si>
    <t>Sân lát gạch bát</t>
  </si>
  <si>
    <t>4.17*12.9</t>
  </si>
  <si>
    <t xml:space="preserve">Dầm BTCT mái cổng </t>
  </si>
  <si>
    <t>1.3*3.5*0.3</t>
  </si>
  <si>
    <t>1.8*2.3</t>
  </si>
  <si>
    <t>1.7*2.9</t>
  </si>
  <si>
    <t>Nhà kho (bếp) tường dày 220 quét vôi, nền gạch  men 500*50mm, mái fiprocimet (2 phần mái)</t>
  </si>
  <si>
    <t>(3.5*3.1)*2</t>
  </si>
  <si>
    <t>- Tăng thêm phần  lát gạch ceramic 500*500mm</t>
  </si>
  <si>
    <t>(3*2.7)*2</t>
  </si>
  <si>
    <t>Nhà kho (bếp) tường dày 220 quét vôi, nền gạch  men 500*50mm, mái lợp tôn (1 phần mái)</t>
  </si>
  <si>
    <t>(3.5*3.1)</t>
  </si>
  <si>
    <t>(3*2.7)</t>
  </si>
  <si>
    <t>Ống nhựa PVC 110 (đường nước thải ngoài nhà)</t>
  </si>
  <si>
    <t>Nhà tắm + nhà vệ sinh đổ BTCT, tường xây gạch 220, nền lát gạch chống trơn, tường ốp gạch ceramic</t>
  </si>
  <si>
    <t>2.2*4</t>
  </si>
  <si>
    <t>Bể phốt</t>
  </si>
  <si>
    <t>2*(2.2+4)*2*0.22</t>
  </si>
  <si>
    <t>Tấm đan BTCT đá 1*2 (đáy + nắp bể phốt )</t>
  </si>
  <si>
    <t>2.2*4*0.1</t>
  </si>
  <si>
    <t>Bể nước</t>
  </si>
  <si>
    <t>d=220</t>
  </si>
  <si>
    <t>2*(2.2+1.9)*2.1*0.22</t>
  </si>
  <si>
    <t>2.2*1.9*0.1</t>
  </si>
  <si>
    <t>Nền bê tông đá 1*2 (hành lang)</t>
  </si>
  <si>
    <t>0.8*4*0.1</t>
  </si>
  <si>
    <t>Chậu rửa (Lavabo)</t>
  </si>
  <si>
    <t>Cây vú sữa</t>
  </si>
  <si>
    <t>Sung</t>
  </si>
  <si>
    <t xml:space="preserve">cây </t>
  </si>
  <si>
    <t>Khế</t>
  </si>
  <si>
    <t>A</t>
  </si>
  <si>
    <t>0.5*0.5*3.14*8</t>
  </si>
  <si>
    <t>0.5*0.5*3.14*8-0.3*0.3*3.14*8</t>
  </si>
  <si>
    <t>sâu 58m</t>
  </si>
  <si>
    <t>Trần Thị Hương</t>
  </si>
  <si>
    <t>Chung mảnh đất và diện tích sử dụng với hộ Nguyễn Viết Xuân</t>
  </si>
  <si>
    <t>Đất ở (phần ngoài mốc)</t>
  </si>
  <si>
    <t>Nhà xây tường 220, quét vôi, nền lát gạch men 500x500, điện chiếu sáng hoàn chỉnh, mái lợp ngói, điện chiếu sáng hoàn chỉnh,cao 3.5m</t>
  </si>
  <si>
    <t>6.5*10.4</t>
  </si>
  <si>
    <t>6*9.9</t>
  </si>
  <si>
    <t>Trần nhựa phòng khách</t>
  </si>
  <si>
    <t>(10*3.8)-(2.6*3.8)</t>
  </si>
  <si>
    <t>2.6*4.9</t>
  </si>
  <si>
    <t>Nhà xây tường 220, nền gạch bát, mái ngói, cao 2.6m, chưa có điện nước + chưa quét ve các mầu (xây thô)</t>
  </si>
  <si>
    <t>4.2*5.7</t>
  </si>
  <si>
    <t>3.8*5.3</t>
  </si>
  <si>
    <t>Tường rào xây gạch chỉ 110</t>
  </si>
  <si>
    <t>(6.8*1.7)+(1.5*1.7)</t>
  </si>
  <si>
    <t>Nhà vệ sinh loại 1 ngăn tường xây gạch, mái fiprociment</t>
  </si>
  <si>
    <t>1.5*1.3</t>
  </si>
  <si>
    <t>Mái fiprociment (phần ngoài bếp)</t>
  </si>
  <si>
    <t>2*5.7</t>
  </si>
  <si>
    <t>Tường xây gạch 110 (ống khói)</t>
  </si>
  <si>
    <t>4.6*3</t>
  </si>
  <si>
    <t>7.5*1+3.8*4.5+1.5*4</t>
  </si>
  <si>
    <t>sâu 50m</t>
  </si>
  <si>
    <t>0.7*4.5+1.3*4</t>
  </si>
  <si>
    <t>1.3*4</t>
  </si>
  <si>
    <t>4*4.5*0.2</t>
  </si>
  <si>
    <t>Tường xây gạch chỉ 220, bổ trụ (tường sân)</t>
  </si>
  <si>
    <t>10.3*0.7</t>
  </si>
  <si>
    <t>Nền lát gạch bát (sân)</t>
  </si>
  <si>
    <t>10.3*4.5</t>
  </si>
  <si>
    <t>Tường rào xây đá</t>
  </si>
  <si>
    <t>2.3*1.6</t>
  </si>
  <si>
    <t>Phan Thị Lưu</t>
  </si>
  <si>
    <t>sâu 56m</t>
  </si>
  <si>
    <t>Tường rào xây gạch tro lò</t>
  </si>
  <si>
    <t>16.4*1.5</t>
  </si>
  <si>
    <t>Bệ giếng xây gạch tro lò</t>
  </si>
  <si>
    <t>2.5*1.5</t>
  </si>
  <si>
    <t xml:space="preserve">Chuối có buồng </t>
  </si>
  <si>
    <t>Chuối chưa có buồng</t>
  </si>
  <si>
    <t xml:space="preserve">Bưởi </t>
  </si>
  <si>
    <t xml:space="preserve">Khế </t>
  </si>
  <si>
    <t xml:space="preserve">Vú sữa </t>
  </si>
  <si>
    <t xml:space="preserve">Mít </t>
  </si>
  <si>
    <t xml:space="preserve">Na </t>
  </si>
  <si>
    <t>Hồng Xiêm</t>
  </si>
  <si>
    <t xml:space="preserve">Ổi </t>
  </si>
  <si>
    <t xml:space="preserve">Nhãn </t>
  </si>
  <si>
    <t xml:space="preserve">Xoài </t>
  </si>
  <si>
    <t xml:space="preserve">Đào </t>
  </si>
  <si>
    <t xml:space="preserve">Xoan </t>
  </si>
  <si>
    <t>D10</t>
  </si>
  <si>
    <t xml:space="preserve">Đinh lăng </t>
  </si>
  <si>
    <t xml:space="preserve">Nhót </t>
  </si>
  <si>
    <t xml:space="preserve">Quất </t>
  </si>
  <si>
    <t>16.4*0.45*1.2</t>
  </si>
  <si>
    <t>Phạm Ngọc Du</t>
  </si>
  <si>
    <t>Bán bình lợp tôn, xây gạch chỉ 220, nền lát gạch ceramic 600*600, quét ve các mầu,điện chiếu sáng hoàn chỉnh, cao 3.7m (quán)</t>
  </si>
  <si>
    <t>12.8*7.3</t>
  </si>
  <si>
    <t>- Tăng thêm phần  lát gạch ceramic 600*600mm</t>
  </si>
  <si>
    <t>12.3*6.8</t>
  </si>
  <si>
    <t>Nhà vệ sinh xây gạch chỉ 110, mái lợp tôn, loại 1 ngăn</t>
  </si>
  <si>
    <t>1.6*2.1</t>
  </si>
  <si>
    <t>Hàn Văn Hiếu</t>
  </si>
  <si>
    <t>Phạm Thị Hậu</t>
  </si>
  <si>
    <t>5.9*7.9</t>
  </si>
  <si>
    <t>- Tăng thêm phần lát gạch ceramic 800*800mm</t>
  </si>
  <si>
    <t>5.5*7.5</t>
  </si>
  <si>
    <t>- Giảm phần  lát gạch ceramic 300*300mm</t>
  </si>
  <si>
    <t>Tường xây gạch chỉ 110, bổ trụ</t>
  </si>
  <si>
    <t>5.5*2*1.1</t>
  </si>
  <si>
    <t>Tường rào hoa sắt</t>
  </si>
  <si>
    <t>(5.5+1.3)*1.1</t>
  </si>
  <si>
    <t xml:space="preserve">Trụ nhà đổ BTCT </t>
  </si>
  <si>
    <t>#250</t>
  </si>
  <si>
    <t>0.4*0.4*3.7*2</t>
  </si>
  <si>
    <t>Bán bình xây gạch chỉ 220, mái lợp tôn, tường trát vữa, quét ve các mầu, nền lát gạch ceramic 500*500, lắp điện chiếu sáng hoàn chỉnh, cao 3.6m</t>
  </si>
  <si>
    <t>10.4*5.9</t>
  </si>
  <si>
    <t>-Giảm phần tường không xây gạch 220 của bán bình</t>
  </si>
  <si>
    <t>10.4*3.6+5.9*3.6</t>
  </si>
  <si>
    <t>1.9*5.9</t>
  </si>
  <si>
    <t>1.5*5.5</t>
  </si>
  <si>
    <t>5.9*3.6</t>
  </si>
  <si>
    <t xml:space="preserve">Móng đơn BTCT </t>
  </si>
  <si>
    <t>Tường bao móng xây gạch (phần sâu &gt;1,2m)</t>
  </si>
  <si>
    <t>(6.9*2+5.1*2)*0.25*(2.5-1.2)</t>
  </si>
  <si>
    <t>Đắp cát nền</t>
  </si>
  <si>
    <t>Hoàng Văn Thanh</t>
  </si>
  <si>
    <t>Nhà xây tường gạch đất nung dày 220 kết hợp tường dày 110, khung BTCT chịu lực, móng BTCT kết hợp xây, tường trát vữa XM, lăn sơn, tường khu vệ sinh ốp gạch men sứ, nền lát gạch ceramic 600*600 và gạch chống trơn, cửa nhôm hệ, cầu thang lát đá granito, điện sinh hoạt và cấp thoát nước hoàn thiện hoàn chỉnh, mái đổ BTCT tại chỗ</t>
  </si>
  <si>
    <t>-Tầng 1, cao 4m</t>
  </si>
  <si>
    <t>6.12*20.7</t>
  </si>
  <si>
    <t>- Tầng 2, cao 3,6m</t>
  </si>
  <si>
    <t>4.5*6.02+3.6*1.9</t>
  </si>
  <si>
    <t>10,6*5,8+6,2*5,8+4,1*5,8</t>
  </si>
  <si>
    <t>Bán bình lợp tôn, vỉ kèo sắt, xây gạch chỉ 110, tường trát vữa, lăn sơn các màu, nền lát gạch ceramic , lắp điện chiếu sáng hoàn chỉnh, cao 3,6m (trên tầng 2 của nhà)</t>
  </si>
  <si>
    <t xml:space="preserve">-Tầng 02 </t>
  </si>
  <si>
    <t>(4.5+9.3)*6.02+0.3*10.6</t>
  </si>
  <si>
    <t>(4.3+9)*5.8</t>
  </si>
  <si>
    <t>6,02*3,6+6,02*3,6*2</t>
  </si>
  <si>
    <t>Tường xây gạch chỉ dày 220, bổ trụ (phần còn lại phía sau tầng 2)</t>
  </si>
  <si>
    <t>(2,6*2+6,02)*0,8</t>
  </si>
  <si>
    <t>Nền lát gạch ceramic 600*600mm</t>
  </si>
  <si>
    <t>2,6*6,02</t>
  </si>
  <si>
    <t>Trần thạch cao</t>
  </si>
  <si>
    <t>5,3*10,6</t>
  </si>
  <si>
    <t>Dây diện nguồn vào nhà, tiết diện dây =&lt;6mm</t>
  </si>
  <si>
    <t>sâu 55m</t>
  </si>
  <si>
    <t>Tấm đan đổ BTCT mác 250 (gác xép nhà vệ sinh)</t>
  </si>
  <si>
    <t>3,1*1,7*0,15</t>
  </si>
  <si>
    <t>Ốp tường gạch ceramic 600*900mm</t>
  </si>
  <si>
    <t>(9+0,8+1+2,9+0,4)*0,9+(15+0,9+0,3+2,9+0,8+3,3+1,6+0,6*2)*0,9</t>
  </si>
  <si>
    <t xml:space="preserve">Trụ xây gạch chỉ </t>
  </si>
  <si>
    <t>0,25*0,25*0,8*4</t>
  </si>
  <si>
    <t>Ốp chân tường gạch ceramic 200*250mm</t>
  </si>
  <si>
    <t>5,5*0,25</t>
  </si>
  <si>
    <t>Ốp gạch ceramic 600*600mm</t>
  </si>
  <si>
    <t>0,6*3,1*2+1,1*3,1*2+1,2*0,25*2+1,45*0,3</t>
  </si>
  <si>
    <t>Ốp đá granit mầu đen</t>
  </si>
  <si>
    <t>1,2*0,25*2+1,45*0,3</t>
  </si>
  <si>
    <t>Ốp gạch ceramic 600*900mm (bếp ga)</t>
  </si>
  <si>
    <t>(2,4+2)*1,5</t>
  </si>
  <si>
    <t>Ốp đá granit mầu đen (mặt bàn bếp)</t>
  </si>
  <si>
    <t>(2+1,8)*0,6</t>
  </si>
  <si>
    <t>Tường xây gạch chỉ 110 (tường bàn bếp)</t>
  </si>
  <si>
    <t>0,6*0,6*3</t>
  </si>
  <si>
    <t>Tấm đan BTCT (mặt bàn bếp)</t>
  </si>
  <si>
    <t>2*0,6*0,1+1,8*0,6*0,1</t>
  </si>
  <si>
    <t>Ốp chân tường cao đến 13cm</t>
  </si>
  <si>
    <t>(2.9+3.9)*2+4*2+4.3</t>
  </si>
  <si>
    <t>Ốp đá granit (cầu thang)</t>
  </si>
  <si>
    <t>(0.33+0.25)*1*21</t>
  </si>
  <si>
    <t>Cửa sắt (cửa quấn ngoài)</t>
  </si>
  <si>
    <t>5*3.5*2</t>
  </si>
  <si>
    <t>Biển quảng cáo nhựa alu, vân gỗ, cắt CNC, khung sắt (trần lambris gỗ)</t>
  </si>
  <si>
    <t>5*1.3*2</t>
  </si>
  <si>
    <t>Phần trụ BTCT móng nhà</t>
  </si>
  <si>
    <t>Dầm giằng cổ móng nhà</t>
  </si>
  <si>
    <t>0.22*0.22*(20*2+5.5*3+5.2)</t>
  </si>
  <si>
    <t>Cây lộc vừng</t>
  </si>
  <si>
    <t>d&gt;7-15cm</t>
  </si>
  <si>
    <t xml:space="preserve">Móng xây gạch chỉ </t>
  </si>
  <si>
    <t>(20*2+10+5.7+5*2+5.5*3)*(2.5-1.2)*0.33</t>
  </si>
  <si>
    <t>0.22*0.22*13*(2.5-1.2)</t>
  </si>
  <si>
    <t>(10*5+10*5.5)*1.3-35.2638</t>
  </si>
  <si>
    <t>1*1*0.1</t>
  </si>
  <si>
    <t xml:space="preserve">Tấm đan BTCT </t>
  </si>
  <si>
    <t>(1.2*1.2*0.15+0.7*0.7*0.25+0.9*0.25*0.25)*12</t>
  </si>
  <si>
    <t>Móng đơn BTCT M200</t>
  </si>
  <si>
    <t>7*10*1.3-21.125</t>
  </si>
  <si>
    <t>(7*5+10*3)*0.25*(2.5-1.2)</t>
  </si>
  <si>
    <t>Đường dây điện ngoài nhà</t>
  </si>
  <si>
    <t>0.6*0.85*21+0.22*0.8*21+1.38*1</t>
  </si>
  <si>
    <t>(1.3+0.8)*2*2.5</t>
  </si>
  <si>
    <t>Tường xây gạch chỉ 110, bổ trụ (ống khói)</t>
  </si>
  <si>
    <t>1.3*0.8*0.1</t>
  </si>
  <si>
    <t>Tấm đan BTCT đá 1*2 (ống khói))</t>
  </si>
  <si>
    <t>3*3*0.12</t>
  </si>
  <si>
    <t>Tấm đan BTCT đá 1*2 (gác xép)</t>
  </si>
  <si>
    <t>5*3</t>
  </si>
  <si>
    <t>Rau bầu</t>
  </si>
  <si>
    <t>3*3</t>
  </si>
  <si>
    <t>Chuồng sắt (kết hợp thép hình và lưới B40)</t>
  </si>
  <si>
    <t>10.5*0.7</t>
  </si>
  <si>
    <t>(1.6+1.5)*0.9</t>
  </si>
  <si>
    <t>Ốp gạch ceramic 600*900mm (tường bếp)</t>
  </si>
  <si>
    <t>(1.6+1.5)*0.8</t>
  </si>
  <si>
    <t>Ốp đá granit (mặt bàn bếp)</t>
  </si>
  <si>
    <t>1.6*0.8*0.1</t>
  </si>
  <si>
    <t>0.7*0.8*3</t>
  </si>
  <si>
    <t>1.1*0.9*0.1</t>
  </si>
  <si>
    <t>Tấm đan BTCT (nắp bể nước)</t>
  </si>
  <si>
    <t>Tấm đan BTCT (đáy bể nước)</t>
  </si>
  <si>
    <t>(1.1+0.9)*2*0.11*1.4</t>
  </si>
  <si>
    <t>2*3</t>
  </si>
  <si>
    <t>Tường xây gạch chỉ 110 (nấu củi</t>
  </si>
  <si>
    <t>(11.6*0.8+6.7*2.6)*0.1</t>
  </si>
  <si>
    <t>Nền  bê tông đá 1*2</t>
  </si>
  <si>
    <t xml:space="preserve">1.7*0.5*0.1*26 </t>
  </si>
  <si>
    <t>7*6.1*0.1</t>
  </si>
  <si>
    <t>4.45*3</t>
  </si>
  <si>
    <t>(3+3)*3.3+ (7*3)-(2.85*4.3)</t>
  </si>
  <si>
    <t>3*3.3</t>
  </si>
  <si>
    <t>- Giảm phần tường không xây gạch 110 của bán bình</t>
  </si>
  <si>
    <t>6.8*2.8</t>
  </si>
  <si>
    <t>7*3</t>
  </si>
  <si>
    <t>Bán bình xây gạch chỉ 110, bổ trụ, mái lợp Fiprociment, lăn sơn, nền lát gạch bát, điện chiếu sáng hoàn chỉnh, cao 3,3m</t>
  </si>
  <si>
    <t>sâu 62m</t>
  </si>
  <si>
    <t>cái</t>
  </si>
  <si>
    <t>Chậu rửa</t>
  </si>
  <si>
    <t>6.2*0.9</t>
  </si>
  <si>
    <t>Cầu thang sắt ngoài nhà (tường rào hoa sắt)</t>
  </si>
  <si>
    <t>8.1*1.4</t>
  </si>
  <si>
    <t>Nền lát gạch bát Hạ Long 400*400mm</t>
  </si>
  <si>
    <t>8.7*6.3+4.9*9.5</t>
  </si>
  <si>
    <t>11*5.5 +1.4*2.8</t>
  </si>
  <si>
    <t>-Tầng 2 cao 3,6m</t>
  </si>
  <si>
    <t>10.7*7</t>
  </si>
  <si>
    <t>-Tầng 1 cao 4,2m</t>
  </si>
  <si>
    <t>Nhà xây tường xây gạch dày 220 kết hợp tường dày 110, khung cột BTCT chịu lực, móng bê tông cốt thép kết hợp xây, tường trát vữa XM, mái đổ BTCT, sơn SILICAT các màu, tường khu vệ sinh ốp gạch men sứ, nền lát gạch CERAMIC các loại, cửa gỗ nhóm III, cửa sổ có hoa sắt, cầu thang lát đá, điện sinh hoạt, cấp thoát nước đầy đủ, hoàn thiện hoàn chỉnh</t>
  </si>
  <si>
    <t>11.1*0.7+4.6*0.7+3*3*0.7</t>
  </si>
  <si>
    <t>Tường xây gạch chỉ 110, bổ trụ (nóc tầng 2)</t>
  </si>
  <si>
    <t xml:space="preserve">Đất ở </t>
  </si>
  <si>
    <t>Hoàng Văn Đấu</t>
  </si>
  <si>
    <t>Trụ xây gạch chỉ (để téc nước)</t>
  </si>
  <si>
    <t>0.3*0.5*2*2</t>
  </si>
  <si>
    <t>Móng bán bình xây gạch chỉ</t>
  </si>
  <si>
    <t>(3*2+7*2)*0.33*1</t>
  </si>
  <si>
    <t>(3*7*1)-6.6</t>
  </si>
  <si>
    <t>2.4*2.5</t>
  </si>
  <si>
    <t>Nền lát gạch Ceramic 500*500mm (ô thờ)</t>
  </si>
  <si>
    <t>(0.9*2.3+0.9*1.7)*0.1*4</t>
  </si>
  <si>
    <t>Tấm đan BTCT (đáy + nắp bể nước)</t>
  </si>
  <si>
    <t>1.3*1.5*0.22*2</t>
  </si>
  <si>
    <t>Bệ xây gạch chỉ đặt téc nước (trụ xây gạch chỉ)</t>
  </si>
  <si>
    <t>Ốp đá granit (bậc tam cấp)</t>
  </si>
  <si>
    <t>4.1*3</t>
  </si>
  <si>
    <t>Cửa xếp trước nhà (cửa sắt)</t>
  </si>
  <si>
    <t>0.27*1.1*50+0.35*1*3+0.9*1.1*4+(0.27*0.14)*55</t>
  </si>
  <si>
    <t>(2.3+2.7)*2.1</t>
  </si>
  <si>
    <t>(5*15.5)*1.1-40.26</t>
  </si>
  <si>
    <t>(5*6+15.5*2)*0.6*1.1</t>
  </si>
  <si>
    <t>Tường bao móng xây đá (phần sâu &gt;1,2m)</t>
  </si>
  <si>
    <t>(1.2*1.2*0.15+0.7*0.7*0.25+0.7*0.3*0.3)*12</t>
  </si>
  <si>
    <t>(1.2+2.2)*0.6*0.1</t>
  </si>
  <si>
    <t>(1.2+2.2)*0.6</t>
  </si>
  <si>
    <t>0.8*0.6*3</t>
  </si>
  <si>
    <t>2*5.05*0.15</t>
  </si>
  <si>
    <t>Tấm đan đổ BTCT đá 1*2 (ngoài nhà)</t>
  </si>
  <si>
    <t>sâu 59m</t>
  </si>
  <si>
    <t>5.05*2*3.3</t>
  </si>
  <si>
    <t>4.85*6.3+4.85*10.3</t>
  </si>
  <si>
    <t>5.05*6.5+5.05*10.5</t>
  </si>
  <si>
    <t>Bán bình lợp tôn, xây gạch chỉ 110, nền lát gạch bát, tường trát vữa, quét ve các mầu, lắp điện chiếu sáng hoàn chỉnh, cao 3.3m (trên tầng 03)</t>
  </si>
  <si>
    <t>2.6*1.4*0.15+2.3*2.6*0.15</t>
  </si>
  <si>
    <t>1.7*1.55+0.8*2.35+0.45*2*1.55+0.8*2.3*3</t>
  </si>
  <si>
    <t>Cánh cửa gỗ dỗi (tầng 02)</t>
  </si>
  <si>
    <t>1*2+2.8*3+1.8*3+2.1*2+0.5+2.8*2*3+0.95*2*3</t>
  </si>
  <si>
    <t>Khung học đơn gỗ dỗi (tầng 02)</t>
  </si>
  <si>
    <t>3.3*1.55+3.3*0.9+0.5*0.9</t>
  </si>
  <si>
    <t>2.7*1.3</t>
  </si>
  <si>
    <t>2.7*0.9</t>
  </si>
  <si>
    <t>Nền lát gạch bát</t>
  </si>
  <si>
    <t>2*(0.9+2.3)*1.2*0.11+2*(0.9*1.7)*1*0.11</t>
  </si>
  <si>
    <t>d=110</t>
  </si>
  <si>
    <t xml:space="preserve">Bể nước </t>
  </si>
  <si>
    <t>Bệt vệ sinh</t>
  </si>
  <si>
    <t>5.05*3.3</t>
  </si>
  <si>
    <t>3.5*4.65</t>
  </si>
  <si>
    <t>3.9*5.05</t>
  </si>
  <si>
    <t>Bán bình lợp tôn, xây gạch chỉ 220, nền lát gạch bát, tường trát vữa, lăn sơn các mầu, lắp điện chiếu sáng hoàn chỉnh, cao 3.5m (phần trước nhà)</t>
  </si>
  <si>
    <t>3.1*3+3.5*2+0.5</t>
  </si>
  <si>
    <t>Khung học kép gỗ dỗi (tầng 01)</t>
  </si>
  <si>
    <t>2.55*0.8+2.55*0.6*4</t>
  </si>
  <si>
    <t xml:space="preserve"> Cánh cửa gỗ dỗi (tầng 01)</t>
  </si>
  <si>
    <t>(4.85*14.5)*3</t>
  </si>
  <si>
    <t>(4.85*14.5)*2</t>
  </si>
  <si>
    <t>- Tăng thêm phần  lát gạch granit nhân tạo 600*600mm</t>
  </si>
  <si>
    <t>5.05*16.9</t>
  </si>
  <si>
    <t>- Tầng 02, cao 3.9m</t>
  </si>
  <si>
    <t>- Tầng 01, cao 3.9m</t>
  </si>
  <si>
    <t>Vũ Đình Thu</t>
  </si>
  <si>
    <t>1*4.85+3*0.12*4.85*3</t>
  </si>
  <si>
    <t>Móng tường rào xây gạch chỉ</t>
  </si>
  <si>
    <t>2.7*0.25*1.8</t>
  </si>
  <si>
    <t>Móng bán bình xây đá hộc</t>
  </si>
  <si>
    <t>(3.9*2+5.05*2)*0.45*0.8</t>
  </si>
  <si>
    <t>Đắp cát nền (bán bình)</t>
  </si>
  <si>
    <t>(3.9*5.05*0.8)-6.444</t>
  </si>
  <si>
    <t>Nhà xây tường gạch đất nung dày 220 kết hợp tường dày 110, khung BTCT chịu lực, móng BTCT kết hợp xây, tường trát vữa XM, lăn sơn, tường khu vệ sinh ốp gạch men sứ, nền lát gạch granit 600*600 và gạch chống trơn, cửa nhôm hệ, cầu thang lát đá granito, điện sinh hoạt và cấp thoát nước hoàn thiện hoàn chỉnh, mái đổ BTCT tại chỗ</t>
  </si>
  <si>
    <t>Ghi chú</t>
  </si>
  <si>
    <t>3.5*3.5</t>
  </si>
  <si>
    <t>Mái ngói (gắn trang trí)</t>
  </si>
  <si>
    <t>1.6*0.8*3</t>
  </si>
  <si>
    <t>Tường xây gạch chỉ 110, bổ trụ (tường bếp)</t>
  </si>
  <si>
    <t>1.6*0.9*0.1</t>
  </si>
  <si>
    <t>Tấm đan BTCT đá 1*2 (mặt bàn bếp)</t>
  </si>
  <si>
    <t>3.5*2.2+2.1*2.7+2.5*1.6</t>
  </si>
  <si>
    <t>(13.5*2+7*2)*1.2</t>
  </si>
  <si>
    <t>(11.5*7.1-60.13)*1.3</t>
  </si>
  <si>
    <t>(11.5*3+7.1*6)*0.6*(2.5-1.2)</t>
  </si>
  <si>
    <t>Móng xây đá hộc (móng nhà)</t>
  </si>
  <si>
    <t>Dây điện</t>
  </si>
  <si>
    <t>7,1*1,4</t>
  </si>
  <si>
    <t>Nhà tường xây gạch 110, mái lợp tôn, cao 3.1m, nền lát gạch XMH, điện chiếu sáng hoàn chỉnh</t>
  </si>
  <si>
    <t>2.4*0.8*3+1.4*1.1*3+1.1*2.4+0.8*2.4*2+0.84*2.4</t>
  </si>
  <si>
    <t>Cửa gỗ lim</t>
  </si>
  <si>
    <t>5,35*2,9</t>
  </si>
  <si>
    <t>1,6*2,2</t>
  </si>
  <si>
    <t>(5.5+1)*3</t>
  </si>
  <si>
    <t>Tường rào kết hợp sắt hình</t>
  </si>
  <si>
    <t>3.3*2.72</t>
  </si>
  <si>
    <t>Cửa gỗ dỗi</t>
  </si>
  <si>
    <t>(1,9+0,5+3,1+5+9)*0,9</t>
  </si>
  <si>
    <t>sâu 70m</t>
  </si>
  <si>
    <t>7,1*2,4*0,1</t>
  </si>
  <si>
    <t>Nền bê tông đá 1*2 (hành lang sau nhà)</t>
  </si>
  <si>
    <t>1.3*7.7</t>
  </si>
  <si>
    <t>Nhà bếp tường xây gạch chỉ dày 220 nền bê tông, mái tôn, điện chiếu sáng hoàn chỉnh</t>
  </si>
  <si>
    <t>2.7*1.4*0.1</t>
  </si>
  <si>
    <t>Tấm đan BTCT (gác xép sau bếp)</t>
  </si>
  <si>
    <t>8.8*7.1</t>
  </si>
  <si>
    <t>Nóng lạnh</t>
  </si>
  <si>
    <t>1.4*2.5</t>
  </si>
  <si>
    <t>Nền lát gạch ceramic 500*500mm</t>
  </si>
  <si>
    <t>1.4*2.5*0.16</t>
  </si>
  <si>
    <t>Tấm đan BTCT (phòng thờ)</t>
  </si>
  <si>
    <t>7.1*3.6</t>
  </si>
  <si>
    <t>- Giảm phần tường không xây gạch 220 của bán bình</t>
  </si>
  <si>
    <t>4.5*6.7</t>
  </si>
  <si>
    <t>5*7,1</t>
  </si>
  <si>
    <t>-Tầng 2  cao 4,2m</t>
  </si>
  <si>
    <t>11.5*7.1</t>
  </si>
  <si>
    <t>Trần Quang Bốn( Vũ Thị Phương)</t>
  </si>
  <si>
    <t>(7.1+7.1+1*2+5.5)*0.45*0.8</t>
  </si>
  <si>
    <t>Tường xây gạch chỉ 110 (bếp hộp)</t>
  </si>
  <si>
    <t>1*5*2</t>
  </si>
  <si>
    <t>1.6*1.1*4</t>
  </si>
  <si>
    <t>Cửa gỗ lim (sổ) tầng 01+02</t>
  </si>
  <si>
    <t>9.2*5.5+7.4*6.5</t>
  </si>
  <si>
    <t>7.8*7.1+2.4*2</t>
  </si>
  <si>
    <t>Bán bình xây gạch chỉ 220, bổ trụ, mái lợp tôn, nền lát gạch ceramic 500*500mm, quét vôi, điện chiếu sáng hoàn chỉnh, cao 3.6m (tầng 02)</t>
  </si>
  <si>
    <t>Mái tôn, vỉ kèo sắt (trên mái tầng 02)</t>
  </si>
  <si>
    <t>1*0.45*21</t>
  </si>
  <si>
    <t>Tường rào bê tông thoáng (nóc tầng 02)</t>
  </si>
  <si>
    <t>Hoàng Văn Hùng</t>
  </si>
  <si>
    <t>-Tầng 01, cao 3,9m</t>
  </si>
  <si>
    <t>21*5.5</t>
  </si>
  <si>
    <t>-Tầng 02, cao 3,7m</t>
  </si>
  <si>
    <t>12.7*5.5</t>
  </si>
  <si>
    <t>(5.1*18.1)+(5.1*10.5)</t>
  </si>
  <si>
    <t>Mái đổ BTCT đá 1*2 (mái chéo trên nhà)</t>
  </si>
  <si>
    <t>(4*2+4*2+2.2*1.5+2.6*4+2.6*4)*0.15</t>
  </si>
  <si>
    <t>Ngói lợp trên mái chéo</t>
  </si>
  <si>
    <t>4*2*2+2.2*1.5+2.6*4*2</t>
  </si>
  <si>
    <t>Trụ xây gạch chỉ</t>
  </si>
  <si>
    <t>0.25*0.25*9*4</t>
  </si>
  <si>
    <t>(5.3+7.5*2)*1.1</t>
  </si>
  <si>
    <t>5.1*7.3</t>
  </si>
  <si>
    <t>5.5*2.7+2.2*2.7</t>
  </si>
  <si>
    <t>Tấm đan đổ BTCT đá 1*2 (sàn vệ sinh tầng 01 + 02)</t>
  </si>
  <si>
    <t>(1.8*3.7*0.15)*2</t>
  </si>
  <si>
    <t>0.9*5.5</t>
  </si>
  <si>
    <t>Tường xây gạch đá</t>
  </si>
  <si>
    <t>(5.5+4.6*2)*2.5</t>
  </si>
  <si>
    <t>Chuồng trại xây gạch tro lò, nền láng vừa XM, mái lợp Fiprociment</t>
  </si>
  <si>
    <t>2.1*2.5</t>
  </si>
  <si>
    <t>Hoa sắt (hàng rào hoa sắt)</t>
  </si>
  <si>
    <t>2.2*0.5</t>
  </si>
  <si>
    <t>Bán bình xây gạch chỉ 220, mái lợp tôn, tường trát vữa, quét ve các mầu, nền lát gạch ceramic 500*500mm, lắp điện chiếu sáng hoàn chỉnh, cao 3,6m</t>
  </si>
  <si>
    <t>7.3*5.5</t>
  </si>
  <si>
    <t>7.1*5.3</t>
  </si>
  <si>
    <t>5.5*3.6+7.3*3.6</t>
  </si>
  <si>
    <t>(2.2+2.4)*0.6</t>
  </si>
  <si>
    <t>(2.2+2.4)*0.55*0.1</t>
  </si>
  <si>
    <t>Tường xây gạch chỉ 110 (tường bếp)</t>
  </si>
  <si>
    <t>0.55*0.8*5</t>
  </si>
  <si>
    <t>Ốp gạch ceramic 600*600mm (bếp)</t>
  </si>
  <si>
    <t>4.6*0.6+1.8*1.2+0.8*0.6</t>
  </si>
  <si>
    <t>Ốp gạch ceramic 500*500mm</t>
  </si>
  <si>
    <t>2.4*0.6</t>
  </si>
  <si>
    <t>Móng xây gạch chỉ</t>
  </si>
  <si>
    <t>(20.8*2+5.4*7)*0.25*(2.5-1.2)</t>
  </si>
  <si>
    <t>sâu 67m</t>
  </si>
  <si>
    <t>5.5*1.3*2</t>
  </si>
  <si>
    <t>Ốp đá granit (cầu thang + bậc hè + hè cửa)</t>
  </si>
  <si>
    <t>0.25*1.2*22+2.5*1.1 + 0.81*0.4*6</t>
  </si>
  <si>
    <t>5.5+20</t>
  </si>
  <si>
    <t>Nhà xây gạch chỉ 220, khung cột BTCT chịu lực, tường trát vữa, lăn sơn các mầu, nền lát gạch ceramic 800*800, cầu thang lát đá granit lắp điện chiếu sáng hoàn chỉnh, mái đổ BTCT</t>
  </si>
  <si>
    <t>Móng đơn BTCT (nhà)</t>
  </si>
  <si>
    <t>((1.2*1.2*0.25)+(0.7*0.7*0.2+0.25*0.25*0.9))*9</t>
  </si>
  <si>
    <t>(1.2*1.2*0.15+0.7*0.7*0.25+0.9*0.25*0.25)*14</t>
  </si>
  <si>
    <t>20.8*5.4*1.3-25.805</t>
  </si>
  <si>
    <t>(7.3*2+5.5)*0.25*(1.9-1.2)</t>
  </si>
  <si>
    <t>sâu 1.9m</t>
  </si>
  <si>
    <t>Đắp cát móng bán bình</t>
  </si>
  <si>
    <t>(7.3*5.5-3.52)*(1.9-1.2)</t>
  </si>
  <si>
    <t>sâu 1.7m</t>
  </si>
  <si>
    <t>(5.5+4.6*2)*0.25*(1.7-0.45)</t>
  </si>
  <si>
    <t>Nguyễn Quốc Vang</t>
  </si>
  <si>
    <t>Ốp đá granit cầu thang (điều chỉnh giảm theo QĐ số   )</t>
  </si>
  <si>
    <t>Ốp đá granit cầu thang</t>
  </si>
  <si>
    <t>0.45*0.95*51+0.9*1*2</t>
  </si>
  <si>
    <t>0.27*1.1*31+0.9*1.1*2</t>
  </si>
  <si>
    <t>sâu 1.85m</t>
  </si>
  <si>
    <t>15*0.45*(1.85-0.45)</t>
  </si>
  <si>
    <t>0.45*5.6*3</t>
  </si>
  <si>
    <t>15*1.6</t>
  </si>
  <si>
    <t>sâu 1.65m</t>
  </si>
  <si>
    <t>(5.5+3+1.2)*0.45*(1.65-0.45)</t>
  </si>
  <si>
    <t>Nhà xây gạch chỉ 220, khung cột BTCT chịu lực, tường trát vữa, lăn sơn các mầu, nền lát gạch ceramic 800*800, cầu thang lát đá granit lắp điện chiếu sáng hoàn chỉnh, mái đổ BTCT, cao 3.9m (kết cấu chung nhà 02 tầng với hộ Hoàng Văn Hùng)</t>
  </si>
  <si>
    <t>(1.2*1.2*0.15+0.7*0.7*0.25+0.9*0.25*0.25)*2</t>
  </si>
  <si>
    <t>(6.9*5.1-7.8)-(2.5-1.2)</t>
  </si>
  <si>
    <t>(5.1*1+1.9*2)*0.25*(1.9-1.2)</t>
  </si>
  <si>
    <t>(5.1*1.9-1.56)*(1.9-1.2)</t>
  </si>
  <si>
    <t>(5.1+10.4*2)*0.25*(1.9-1.2)</t>
  </si>
  <si>
    <t>(5.1*10.4-4.53)*(1.9-1.2)</t>
  </si>
  <si>
    <t>(12,5*3+8,5*4)*(0,4*0,25+0,4*0,4)</t>
  </si>
  <si>
    <t>Móng băng phần xây gạch</t>
  </si>
  <si>
    <t>(12,5*3+8,5*4)*0,4*2,35</t>
  </si>
  <si>
    <t>12,5*8,5*3-((12,5*3+8,5*4)*0,4*3)</t>
  </si>
  <si>
    <t>Trần Thị Nga</t>
  </si>
  <si>
    <t>sâu 4.2m</t>
  </si>
  <si>
    <t>Trần Văn Ngọc</t>
  </si>
  <si>
    <t>Tấm đan BTCT đá 1*2 (đáy + nắp bể ngầm)</t>
  </si>
  <si>
    <t>3*2.1*0.1*2</t>
  </si>
  <si>
    <t>Tấm đan BTCT đá 1*2 (đáy + nắp bể nổi)</t>
  </si>
  <si>
    <t>0.6*0.6*0.1*2</t>
  </si>
  <si>
    <t>Tấm đan BTCT đá 1*2 (gác xép nhà tắm + vệ sinh)</t>
  </si>
  <si>
    <t>3.5*2.5*0.2*2</t>
  </si>
  <si>
    <t>Lê Hữu Phượng</t>
  </si>
  <si>
    <t>Nhà xây (cả móng) tường xây gạch đất nung hoặc gạch không nung đạt quy chuẩn, dày 220, tường trát vữa, vét vôi ve các màu, nền lát gạch Ceramic 400*400, lắp điện chiếu sáng hoàn chỉnh, Mái lợp ngói, cao 4,2m</t>
  </si>
  <si>
    <t>6.9*13.9</t>
  </si>
  <si>
    <t>13.4*6.5</t>
  </si>
  <si>
    <t>6.8*6</t>
  </si>
  <si>
    <t>6*3.8</t>
  </si>
  <si>
    <t>Nhà xây (cả móng) tường xây gạch đất nung hoặc gạch không nung đạt quy chuẩn, dày 220, tường trát vữa, quét vôi ve các màu, nền lát gạch bát, lắp điện chiếu sáng hoàn chỉnh, Mái lợp ngói, cao 2,5m</t>
  </si>
  <si>
    <t>7.1*4.8</t>
  </si>
  <si>
    <t>6.6*4.3</t>
  </si>
  <si>
    <t>4.2*0.6</t>
  </si>
  <si>
    <t>Tấm BTCT bàn bếp ga</t>
  </si>
  <si>
    <t>4.2*0.6*0.1</t>
  </si>
  <si>
    <t>Ốp gạch men 500*500 tường bàn bếp ga</t>
  </si>
  <si>
    <t>5*1.5</t>
  </si>
  <si>
    <t>Mái lợp Fiprôciment</t>
  </si>
  <si>
    <t>4.5*3.4</t>
  </si>
  <si>
    <t>Nền lát gạch Ceramic 400*400</t>
  </si>
  <si>
    <t>30*1</t>
  </si>
  <si>
    <t>Nhà tắm tường xây gạch chỉ 220, trần đổ BTCT, tường ốp gạch men kính, nền lát gạch chống trơn</t>
  </si>
  <si>
    <t>3.1*2.5</t>
  </si>
  <si>
    <t>Bình đun nước nóng</t>
  </si>
  <si>
    <t>Bể nước xây gạch chỉ D220</t>
  </si>
  <si>
    <t>2*(3.1+2.5)*0.22*1.8</t>
  </si>
  <si>
    <t>Đáy + nắp BTCT (bể nước)</t>
  </si>
  <si>
    <t>(3.1*2.5*0.1)*2</t>
  </si>
  <si>
    <t>sâu 73m</t>
  </si>
  <si>
    <t>Tường xây gạch không nung</t>
  </si>
  <si>
    <t>9.1*1+3*1</t>
  </si>
  <si>
    <t>Chuồng trại xây gạch chỉ D110, mái lợp ngói, nền lát gạch bát</t>
  </si>
  <si>
    <t>6.7*3.5</t>
  </si>
  <si>
    <t>4*3.9*0.1</t>
  </si>
  <si>
    <t>Bể phốt  tường xây gạch chỉ D220</t>
  </si>
  <si>
    <t>2*(3+1.5)*1.5*0.22</t>
  </si>
  <si>
    <t>Đáy + nắp BTCT</t>
  </si>
  <si>
    <t>(3*1.5*0.1)*2</t>
  </si>
  <si>
    <t>Tường xây đá</t>
  </si>
  <si>
    <t>2.3*1.2+6.7*1.2</t>
  </si>
  <si>
    <t>Ống thoát nước bằng nhựa PVC D90 (2 đường)</t>
  </si>
  <si>
    <t>25*2</t>
  </si>
  <si>
    <t>Dây điện ngoài nhà (Tiết diện dây ≤ 6mm)</t>
  </si>
  <si>
    <t>Sân nền lát gạch bát Hạ Long 400*400mm</t>
  </si>
  <si>
    <t>10.3*6</t>
  </si>
  <si>
    <t>7*3.4*0.1</t>
  </si>
  <si>
    <t xml:space="preserve">Phần trụ cổng xây gạch chỉ </t>
  </si>
  <si>
    <t>0.2*0.2*2.5*2</t>
  </si>
  <si>
    <t>0.4*0.4*2.5*2-0.2*0.2*2.5*2</t>
  </si>
  <si>
    <t>Cửa cổng sắt</t>
  </si>
  <si>
    <t>1.8*2.2</t>
  </si>
  <si>
    <t>Mái cổng xây gạch chỉ D220</t>
  </si>
  <si>
    <t>3*0.8+1.5*2.5</t>
  </si>
  <si>
    <t>2*1.8</t>
  </si>
  <si>
    <t>18*1*0.1</t>
  </si>
  <si>
    <t>Na</t>
  </si>
  <si>
    <t>Chanh</t>
  </si>
  <si>
    <t>Hoa hồng</t>
  </si>
  <si>
    <t>Bụi</t>
  </si>
  <si>
    <t>Si cảnh</t>
  </si>
  <si>
    <t>Ngải cứu</t>
  </si>
  <si>
    <t>10*3+8*6</t>
  </si>
  <si>
    <t>Thiết mộc lan</t>
  </si>
  <si>
    <t>Vạn tuế</t>
  </si>
  <si>
    <t>chiều cao thân &gt; 30cm</t>
  </si>
  <si>
    <t>Cau cảnh</t>
  </si>
  <si>
    <t>Đào</t>
  </si>
  <si>
    <t>Lộc vừng</t>
  </si>
  <si>
    <t>D5</t>
  </si>
  <si>
    <t>Sung cảnh</t>
  </si>
  <si>
    <t>Riềng</t>
  </si>
  <si>
    <t>Gừng</t>
  </si>
  <si>
    <t>3*2</t>
  </si>
  <si>
    <t>Diện tích mặt nước ao nuôi thủy sản</t>
  </si>
  <si>
    <t>7.12*9</t>
  </si>
  <si>
    <t>Vú sữa</t>
  </si>
  <si>
    <t>Nguyễn Văn Vui ( Thuý)</t>
  </si>
  <si>
    <t>- Tầng 1 cao 4.1m</t>
  </si>
  <si>
    <t>12.4*6.6</t>
  </si>
  <si>
    <t>-Tầng 2 xây tường 110 mái fiproximet cao 2m( tum)</t>
  </si>
  <si>
    <t>3*2.7</t>
  </si>
  <si>
    <t xml:space="preserve">Tường rào xây gạch chỉ </t>
  </si>
  <si>
    <t>27.8*1.5</t>
  </si>
  <si>
    <t>Nhà  ngang xây tường dày 220 quét vôi, nền gạch men 600*600mm, mái tôn cao 3,8m, điện chiếu sáng hoàn chỉnh</t>
  </si>
  <si>
    <t>7.2*4</t>
  </si>
  <si>
    <t>Nhà bếp xây gạch chỉ 220, mái lợp tôn, nền lát gạch Hạ Long</t>
  </si>
  <si>
    <t>8.3*4.5</t>
  </si>
  <si>
    <t>2.8*1.8</t>
  </si>
  <si>
    <t>2.8*0.6</t>
  </si>
  <si>
    <t xml:space="preserve">Tấm đan BTCT bàn bếp </t>
  </si>
  <si>
    <t>2.8*0.6*0.1</t>
  </si>
  <si>
    <t xml:space="preserve">Nhà tắm + vệ sinh tường xây gạch dày 220, mái đổ BTCT nền lát gạch men chống trơn, tường ốp gạch men </t>
  </si>
  <si>
    <t>3.5*2.4</t>
  </si>
  <si>
    <t>Bộ</t>
  </si>
  <si>
    <t>5.6*3.8</t>
  </si>
  <si>
    <t>5.6*3.8*0.15</t>
  </si>
  <si>
    <t>Bể nước xây gạch chỉ dày 110</t>
  </si>
  <si>
    <t>(3.5+2.4) *2 *0.11*1</t>
  </si>
  <si>
    <t>Tấm đan BTCT đáy + nắp bể nước</t>
  </si>
  <si>
    <t>(3.5*2.4*0.1)*2</t>
  </si>
  <si>
    <t>Sân gạch bát</t>
  </si>
  <si>
    <t>9*4.5 +5.5*2.7</t>
  </si>
  <si>
    <t>7*4</t>
  </si>
  <si>
    <t>13.6*1+ 7.3*1.4</t>
  </si>
  <si>
    <t>Tường xây gạch chỉ tường 110</t>
  </si>
  <si>
    <t>7.3*1.6</t>
  </si>
  <si>
    <t xml:space="preserve">Trụ cổng BTCT </t>
  </si>
  <si>
    <t>0.4*0.4*2.4*2</t>
  </si>
  <si>
    <t>Dầm gác cổng BTCT</t>
  </si>
  <si>
    <t>2.8*0.4*0.2</t>
  </si>
  <si>
    <t>1.9*2.3</t>
  </si>
  <si>
    <t>Mái tôn trên cổng</t>
  </si>
  <si>
    <t>2.3*2</t>
  </si>
  <si>
    <t>Dây điện ngoài nhà tiết diện dây ≤ 6mm</t>
  </si>
  <si>
    <t>1.4*2.4+ 1.8*2.4</t>
  </si>
  <si>
    <t>1.9*0.9</t>
  </si>
  <si>
    <t>Ống nhựa thoát nước D90</t>
  </si>
  <si>
    <t>Bể phốt xây gạch chỉ</t>
  </si>
  <si>
    <t>(1.9+2.5)*2*1.5*0.22</t>
  </si>
  <si>
    <t>Tấm đan BTCT  nắp+ đáy bể phốt</t>
  </si>
  <si>
    <t>1.9*2.5*0.1*2</t>
  </si>
  <si>
    <t>2*(2.4+1.1)*1*0.11</t>
  </si>
  <si>
    <t>2.4*1.1*0.1*2</t>
  </si>
  <si>
    <t>0.9*0.45*26</t>
  </si>
  <si>
    <t>(7.3+27.8)*0.45*0.4</t>
  </si>
  <si>
    <t>Móng xây đá hộc (ao)</t>
  </si>
  <si>
    <t>35.4*2.5*0.45</t>
  </si>
  <si>
    <t>11.9*2</t>
  </si>
  <si>
    <t>12*6.2</t>
  </si>
  <si>
    <t>Nhà xây tường gạch đất nung dày 220  khung BTCT chịu lực, móng BTCT kết hợp xây, tường trát vữa XM, lăn sơn, cầu thang lát đá granit, điện sinh hoạt và cấp thoát nước hoàn thiện hoàn chỉnh, mái đổ BTCT tại chỗ</t>
  </si>
  <si>
    <t>Tổng chi phí bồi thường</t>
  </si>
  <si>
    <t>Chi phí kiểm kê 2%</t>
  </si>
  <si>
    <t>Mái lợp Fiprociment, kèo luồng</t>
  </si>
  <si>
    <t>Hỗ trợ thuê nhà ở</t>
  </si>
  <si>
    <t>QĐ25</t>
  </si>
  <si>
    <t>Tre (chỉ có thể làm củi)</t>
  </si>
  <si>
    <t xml:space="preserve">đề nghị cung cấp căn cứ XD giá </t>
  </si>
  <si>
    <t>Trầu không (đã leo giàn)</t>
  </si>
  <si>
    <t xml:space="preserve">Kiểm tra lại khối lượng </t>
  </si>
  <si>
    <t>Tường hoa ô thoáng gạch (Tường rào bê tông thoáng)</t>
  </si>
  <si>
    <t>Ốp gỗ chân tường tầng 1 (Tường, trần Lambris (gỗ)</t>
  </si>
  <si>
    <t>M200</t>
  </si>
  <si>
    <t>Móng băng phần BTCT M200</t>
  </si>
  <si>
    <t>Kiểm tra lại khối lượng móng tích sai công thức</t>
  </si>
  <si>
    <t xml:space="preserve">Kiểm tra khối lượng </t>
  </si>
  <si>
    <t xml:space="preserve">kiểm tra khối lượng </t>
  </si>
  <si>
    <t>Kiểm tra lại sao đơn giá bằng 0</t>
  </si>
  <si>
    <t>Giếng khoan d=&lt;50mm</t>
  </si>
  <si>
    <t>Nha Đam ( bầu công anh)</t>
  </si>
  <si>
    <t xml:space="preserve">Đơn giá thẩm định </t>
  </si>
  <si>
    <t xml:space="preserve">Ghi chú </t>
  </si>
  <si>
    <t>Hệ số</t>
  </si>
  <si>
    <t>Theo trích đo bản đồ và báo cáo nguồn gốc đất của xã</t>
  </si>
  <si>
    <t>Đất rừng SX (UBND xã quản lý)</t>
  </si>
  <si>
    <t>m²</t>
  </si>
  <si>
    <t>Hỗ trợ tiền chặt cây</t>
  </si>
  <si>
    <t>Keo</t>
  </si>
  <si>
    <t>Đường kính gốc &gt;= 1 - 5 cm</t>
  </si>
  <si>
    <t>Đường kính gốc &gt; 5 - 10 cm</t>
  </si>
  <si>
    <t>Đường kính gốc &gt;10 - 20 cm</t>
  </si>
  <si>
    <t>Đường kính gốc &gt; 20 - 30 cm</t>
  </si>
  <si>
    <t>Hàn Văn Xuân</t>
  </si>
  <si>
    <t>Vũ Đình Khiến</t>
  </si>
  <si>
    <t>UBND xã Thiệu Quang</t>
  </si>
  <si>
    <t>Đất rừng</t>
  </si>
  <si>
    <t>I</t>
  </si>
  <si>
    <t>Kinh phí bồi thường, hỗ trợ</t>
  </si>
  <si>
    <t>II</t>
  </si>
  <si>
    <t>Kinh phí di chuyển và hoàn trả các công trình hạ tầng (đường dây điện)</t>
  </si>
  <si>
    <t>Kinh phí kiểm kê 2%</t>
  </si>
  <si>
    <t>PHỤ LỤC</t>
  </si>
  <si>
    <t>Phương án bồi thường, hỗ trợ, tái định cư Tiểu dự án 1 - Cầu vượt sông Mã và đường 2 đầu cầu từ Km5+250 đến Km7+250 thuộc dự án Đường nối Quốc lộ 1 với Quốc lộ 45 đoạn từ xã Hoằng Xuân,  huyện Hoằng Hóa đến xã Thiệu Long, huyện Thiệu Hóa (đợt 3+5)</t>
  </si>
  <si>
    <t>CỘNG</t>
  </si>
  <si>
    <t>Trần Văn Thành (nhu)</t>
  </si>
  <si>
    <t>A. PHƯƠNG ÁN BT, HT, TĐC ĐỢT 3</t>
  </si>
  <si>
    <t>B. PHƯƠNG ÁN BT, HT, TĐC ĐỢT 5</t>
  </si>
  <si>
    <t>III</t>
  </si>
  <si>
    <t>C. TỔNG PHÊ DUYỆT PHƯƠNG ÁN BỒI THƯỜNG, HỖ TRỢ, TĐC ĐỢT 3 + 5</t>
  </si>
  <si>
    <t>LÀM TRÒN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</si>
</sst>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
    <numFmt numFmtId="167" formatCode="_(* #,##0_);_(* \(#,##0\);_(* &quot;-&quot;??_);_(@_)"/>
    <numFmt numFmtId="168" formatCode="_(* #,##0.0_);_(* \(#,##0.0\);_(* &quot;-&quot;??_);_(@_)"/>
  </numFmts>
  <fonts count="19" x14ac:knownFonts="1">
    <font>
      <sz val="11"/>
      <color theme="1"/>
      <name val="Calibri"/>
      <family val="2"/>
      <scheme val="minor"/>
    </font>
    <font>
      <sz val="11"/>
      <color theme="1"/>
      <name val="Calibri"/>
      <family val="2"/>
      <charset val="163"/>
      <scheme val="minor"/>
    </font>
    <font>
      <b/>
      <sz val="12"/>
      <color theme="1"/>
      <name val="Times New Roman"/>
      <family val="1"/>
    </font>
    <font>
      <sz val="12"/>
      <color theme="1"/>
      <name val="Times New Roman"/>
      <family val="1"/>
    </font>
    <font>
      <sz val="12"/>
      <name val="Times New Roman"/>
      <family val="1"/>
    </font>
    <font>
      <b/>
      <sz val="12"/>
      <name val="Times New Roman"/>
      <family val="1"/>
    </font>
    <font>
      <sz val="11"/>
      <color theme="1"/>
      <name val="Calibri"/>
      <family val="2"/>
      <scheme val="minor"/>
    </font>
    <font>
      <sz val="14"/>
      <color rgb="FF000000"/>
      <name val="Times New Roman"/>
      <family val="1"/>
    </font>
    <font>
      <sz val="12"/>
      <color rgb="FFFF0000"/>
      <name val="Times New Roman"/>
      <family val="1"/>
    </font>
    <font>
      <sz val="11"/>
      <color indexed="8"/>
      <name val="Calibri"/>
      <family val="2"/>
    </font>
    <font>
      <sz val="7"/>
      <color rgb="FF000000"/>
      <name val="Arial"/>
      <family val="2"/>
    </font>
    <font>
      <b/>
      <i/>
      <sz val="12"/>
      <color theme="1"/>
      <name val="Times New Roman"/>
      <family val="1"/>
      <charset val="163"/>
    </font>
    <font>
      <i/>
      <sz val="11"/>
      <color theme="1"/>
      <name val="Calibri"/>
      <family val="2"/>
      <charset val="163"/>
      <scheme val="minor"/>
    </font>
    <font>
      <sz val="10"/>
      <name val="Times New Roman"/>
      <family val="1"/>
    </font>
    <font>
      <sz val="11"/>
      <name val="Times New Roman"/>
      <family val="1"/>
    </font>
    <font>
      <b/>
      <i/>
      <sz val="12"/>
      <name val="Times New Roman"/>
      <family val="1"/>
    </font>
    <font>
      <i/>
      <sz val="12"/>
      <name val="Times New Roman"/>
      <family val="1"/>
    </font>
    <font>
      <sz val="13"/>
      <name val="Times New Roman"/>
      <family val="1"/>
    </font>
    <font>
      <b/>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0" fontId="9" fillId="0" borderId="0"/>
    <xf numFmtId="0" fontId="1" fillId="0" borderId="0"/>
  </cellStyleXfs>
  <cellXfs count="197">
    <xf numFmtId="0" fontId="0" fillId="0" borderId="0" xfId="0"/>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3" fontId="3" fillId="0" borderId="1" xfId="0" applyNumberFormat="1"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5"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165" fontId="5" fillId="0" borderId="1" xfId="0" applyNumberFormat="1" applyFont="1" applyBorder="1" applyAlignment="1">
      <alignment horizontal="right" vertical="center"/>
    </xf>
    <xf numFmtId="3" fontId="5" fillId="0" borderId="1" xfId="0" applyNumberFormat="1" applyFont="1" applyBorder="1" applyAlignment="1">
      <alignment vertical="center"/>
    </xf>
    <xf numFmtId="0" fontId="4" fillId="0" borderId="1" xfId="0" applyFont="1" applyBorder="1" applyAlignment="1">
      <alignment vertical="center"/>
    </xf>
    <xf numFmtId="3" fontId="4" fillId="0" borderId="1" xfId="0" applyNumberFormat="1" applyFont="1" applyBorder="1" applyAlignment="1">
      <alignment vertical="center"/>
    </xf>
    <xf numFmtId="167" fontId="3" fillId="0" borderId="1" xfId="1" applyNumberFormat="1"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3" fontId="4" fillId="0" borderId="1" xfId="1" applyNumberFormat="1" applyFont="1" applyFill="1" applyBorder="1" applyAlignment="1">
      <alignment horizontal="center" vertical="center"/>
    </xf>
    <xf numFmtId="0" fontId="4" fillId="0" borderId="1" xfId="0" applyFont="1" applyBorder="1" applyAlignment="1">
      <alignment horizontal="right" vertical="center"/>
    </xf>
    <xf numFmtId="3" fontId="3" fillId="0" borderId="0" xfId="0" applyNumberFormat="1"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167" fontId="8" fillId="0" borderId="1" xfId="1" applyNumberFormat="1" applyFont="1" applyFill="1" applyBorder="1" applyAlignment="1">
      <alignment vertical="center"/>
    </xf>
    <xf numFmtId="0" fontId="5" fillId="0" borderId="1" xfId="0" applyFont="1" applyBorder="1"/>
    <xf numFmtId="0" fontId="2" fillId="0" borderId="1" xfId="0" applyFont="1" applyBorder="1"/>
    <xf numFmtId="0" fontId="2" fillId="0" borderId="0" xfId="0" applyFont="1"/>
    <xf numFmtId="0" fontId="3" fillId="0" borderId="0" xfId="0" applyFont="1" applyAlignment="1">
      <alignment horizontal="center"/>
    </xf>
    <xf numFmtId="0" fontId="3" fillId="0" borderId="0" xfId="0" applyFont="1" applyAlignment="1">
      <alignment horizontal="center" vertical="center"/>
    </xf>
    <xf numFmtId="165" fontId="3" fillId="0" borderId="0" xfId="0" applyNumberFormat="1" applyFont="1" applyAlignment="1">
      <alignment horizontal="right"/>
    </xf>
    <xf numFmtId="3" fontId="3" fillId="0" borderId="0" xfId="0" applyNumberFormat="1" applyFont="1" applyAlignment="1">
      <alignment horizontal="right"/>
    </xf>
    <xf numFmtId="3" fontId="7" fillId="0" borderId="0" xfId="0" applyNumberFormat="1" applyFont="1" applyAlignment="1">
      <alignment horizontal="right" vertical="center" wrapText="1"/>
    </xf>
    <xf numFmtId="3" fontId="3" fillId="0" borderId="0" xfId="0" applyNumberFormat="1" applyFont="1" applyAlignment="1">
      <alignment horizontal="center"/>
    </xf>
    <xf numFmtId="4" fontId="5" fillId="0" borderId="1" xfId="0" applyNumberFormat="1" applyFont="1" applyBorder="1" applyAlignment="1">
      <alignment vertical="center"/>
    </xf>
    <xf numFmtId="4" fontId="3" fillId="0" borderId="0" xfId="0" applyNumberFormat="1" applyFont="1" applyAlignment="1">
      <alignment horizontal="right"/>
    </xf>
    <xf numFmtId="3" fontId="10" fillId="0" borderId="0" xfId="0" applyNumberFormat="1" applyFont="1"/>
    <xf numFmtId="0" fontId="11" fillId="0" borderId="1" xfId="0" applyFont="1" applyBorder="1" applyAlignment="1">
      <alignment horizontal="center" vertical="center"/>
    </xf>
    <xf numFmtId="0" fontId="12" fillId="0" borderId="0" xfId="0" applyFont="1"/>
    <xf numFmtId="0" fontId="11" fillId="0" borderId="0" xfId="0" applyFont="1"/>
    <xf numFmtId="0" fontId="11" fillId="0" borderId="1" xfId="0" applyFont="1" applyBorder="1" applyAlignment="1">
      <alignment horizontal="center" vertical="center" wrapText="1"/>
    </xf>
    <xf numFmtId="0" fontId="11" fillId="0" borderId="0" xfId="0" applyFont="1" applyAlignment="1">
      <alignment horizontal="center" vertical="center"/>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4"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167" fontId="4" fillId="2" borderId="1" xfId="1" applyNumberFormat="1" applyFont="1" applyFill="1" applyBorder="1" applyAlignment="1">
      <alignment horizontal="center" vertical="center"/>
    </xf>
    <xf numFmtId="167" fontId="5" fillId="2" borderId="1" xfId="1" applyNumberFormat="1" applyFont="1" applyFill="1" applyBorder="1" applyAlignment="1">
      <alignment horizontal="center" vertical="center"/>
    </xf>
    <xf numFmtId="3" fontId="5" fillId="2" borderId="1" xfId="2" applyNumberFormat="1" applyFont="1" applyFill="1" applyBorder="1" applyAlignment="1">
      <alignment horizontal="center" vertical="center"/>
    </xf>
    <xf numFmtId="0" fontId="5" fillId="2" borderId="1" xfId="0" applyFont="1" applyFill="1" applyBorder="1"/>
    <xf numFmtId="0" fontId="4" fillId="2" borderId="1" xfId="2" applyFont="1" applyFill="1" applyBorder="1"/>
    <xf numFmtId="0" fontId="4" fillId="2" borderId="1" xfId="2" applyFont="1" applyFill="1" applyBorder="1" applyAlignment="1">
      <alignment horizontal="center"/>
    </xf>
    <xf numFmtId="167" fontId="4" fillId="2" borderId="1" xfId="1" applyNumberFormat="1" applyFont="1" applyFill="1" applyBorder="1"/>
    <xf numFmtId="3" fontId="5" fillId="2" borderId="1" xfId="3" applyNumberFormat="1" applyFont="1" applyFill="1" applyBorder="1" applyAlignment="1">
      <alignment horizontal="left" vertical="center"/>
    </xf>
    <xf numFmtId="3" fontId="5" fillId="2" borderId="1" xfId="3" applyNumberFormat="1" applyFont="1" applyFill="1" applyBorder="1" applyAlignment="1">
      <alignment horizontal="center" vertical="center"/>
    </xf>
    <xf numFmtId="0" fontId="15" fillId="0" borderId="1" xfId="0" applyFont="1" applyBorder="1" applyAlignment="1">
      <alignment horizontal="center" vertical="center"/>
    </xf>
    <xf numFmtId="3" fontId="15" fillId="0" borderId="1" xfId="3" applyNumberFormat="1" applyFont="1" applyBorder="1" applyAlignment="1">
      <alignment horizontal="left" vertical="center" wrapText="1"/>
    </xf>
    <xf numFmtId="3" fontId="15" fillId="2" borderId="1" xfId="3" applyNumberFormat="1" applyFont="1" applyFill="1" applyBorder="1" applyAlignment="1">
      <alignment horizontal="left" vertical="center" wrapText="1"/>
    </xf>
    <xf numFmtId="0" fontId="15" fillId="2" borderId="1" xfId="2" applyFont="1" applyFill="1" applyBorder="1"/>
    <xf numFmtId="167" fontId="15" fillId="2" borderId="1" xfId="2" applyNumberFormat="1" applyFont="1" applyFill="1" applyBorder="1" applyAlignment="1">
      <alignment horizontal="center" vertical="center"/>
    </xf>
    <xf numFmtId="168" fontId="16" fillId="2" borderId="1" xfId="1" applyNumberFormat="1" applyFont="1" applyFill="1" applyBorder="1" applyAlignment="1">
      <alignment horizontal="center"/>
    </xf>
    <xf numFmtId="167" fontId="15" fillId="2" borderId="1" xfId="1" applyNumberFormat="1" applyFont="1" applyFill="1" applyBorder="1"/>
    <xf numFmtId="167" fontId="15" fillId="2" borderId="1" xfId="1" applyNumberFormat="1" applyFont="1" applyFill="1" applyBorder="1" applyAlignment="1">
      <alignment horizontal="right" vertical="center"/>
    </xf>
    <xf numFmtId="0" fontId="15" fillId="2" borderId="1" xfId="2" applyFont="1" applyFill="1" applyBorder="1" applyAlignment="1">
      <alignment horizontal="center" vertical="center"/>
    </xf>
    <xf numFmtId="0" fontId="15" fillId="2" borderId="1" xfId="0" applyFont="1" applyFill="1" applyBorder="1" applyAlignment="1">
      <alignment horizontal="center" vertical="center"/>
    </xf>
    <xf numFmtId="168" fontId="15" fillId="2" borderId="1" xfId="1" applyNumberFormat="1" applyFont="1" applyFill="1" applyBorder="1" applyAlignment="1">
      <alignment horizontal="center"/>
    </xf>
    <xf numFmtId="167" fontId="15" fillId="0" borderId="1" xfId="1" applyNumberFormat="1" applyFont="1" applyBorder="1" applyAlignment="1">
      <alignment vertical="center"/>
    </xf>
    <xf numFmtId="3" fontId="15" fillId="0" borderId="1" xfId="0" applyNumberFormat="1" applyFont="1" applyBorder="1" applyAlignment="1">
      <alignment vertical="center"/>
    </xf>
    <xf numFmtId="0" fontId="15"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0" fontId="5" fillId="0" borderId="1" xfId="0" applyFont="1" applyBorder="1" applyAlignment="1">
      <alignment vertical="center" wrapText="1"/>
    </xf>
    <xf numFmtId="0" fontId="4" fillId="0" borderId="1" xfId="0" quotePrefix="1" applyFont="1" applyBorder="1" applyAlignment="1">
      <alignment horizontal="left" vertical="center" wrapText="1"/>
    </xf>
    <xf numFmtId="165" fontId="4"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xf>
    <xf numFmtId="166" fontId="4"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65" fontId="17" fillId="0" borderId="1" xfId="0" applyNumberFormat="1" applyFont="1" applyBorder="1" applyAlignment="1">
      <alignment horizontal="right" vertical="center" wrapText="1"/>
    </xf>
    <xf numFmtId="3" fontId="17" fillId="0" borderId="1" xfId="0" applyNumberFormat="1" applyFont="1" applyBorder="1" applyAlignment="1">
      <alignmen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4" fillId="0" borderId="1" xfId="0" quotePrefix="1" applyFont="1" applyBorder="1" applyAlignment="1">
      <alignment horizontal="left" vertical="center"/>
    </xf>
    <xf numFmtId="0" fontId="4" fillId="0" borderId="1" xfId="0" quotePrefix="1" applyFont="1" applyBorder="1" applyAlignment="1">
      <alignment vertical="center"/>
    </xf>
    <xf numFmtId="167" fontId="4" fillId="0" borderId="1" xfId="1" applyNumberFormat="1" applyFont="1" applyFill="1" applyBorder="1" applyAlignment="1">
      <alignment horizontal="right" vertical="center"/>
    </xf>
    <xf numFmtId="3" fontId="4" fillId="0" borderId="1" xfId="0"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0" fontId="4" fillId="0" borderId="1" xfId="0" quotePrefix="1" applyFont="1" applyBorder="1" applyAlignment="1">
      <alignment vertical="center" wrapText="1"/>
    </xf>
    <xf numFmtId="4" fontId="4" fillId="0" borderId="1" xfId="0" applyNumberFormat="1" applyFont="1" applyBorder="1" applyAlignment="1">
      <alignment horizontal="right" vertical="center"/>
    </xf>
    <xf numFmtId="165" fontId="5" fillId="0" borderId="1" xfId="0" applyNumberFormat="1" applyFont="1" applyBorder="1" applyAlignment="1">
      <alignment horizontal="right"/>
    </xf>
    <xf numFmtId="3" fontId="5" fillId="0" borderId="1" xfId="0" applyNumberFormat="1" applyFont="1" applyBorder="1" applyAlignment="1">
      <alignment horizontal="right"/>
    </xf>
    <xf numFmtId="4" fontId="5" fillId="0" borderId="1" xfId="0" applyNumberFormat="1" applyFont="1" applyBorder="1" applyAlignment="1">
      <alignment horizontal="right"/>
    </xf>
    <xf numFmtId="3" fontId="5" fillId="0" borderId="1" xfId="0" applyNumberFormat="1" applyFont="1" applyBorder="1" applyAlignment="1">
      <alignment horizontal="center"/>
    </xf>
    <xf numFmtId="0" fontId="15" fillId="0" borderId="1" xfId="0" applyFont="1" applyBorder="1" applyAlignment="1">
      <alignment horizontal="center"/>
    </xf>
    <xf numFmtId="0" fontId="15" fillId="0" borderId="1" xfId="0" applyFont="1" applyBorder="1"/>
    <xf numFmtId="165" fontId="15" fillId="0" borderId="1" xfId="0" applyNumberFormat="1" applyFont="1" applyBorder="1" applyAlignment="1">
      <alignment horizontal="right"/>
    </xf>
    <xf numFmtId="3" fontId="15" fillId="0" borderId="1" xfId="0" applyNumberFormat="1" applyFont="1" applyBorder="1" applyAlignment="1">
      <alignment horizontal="right"/>
    </xf>
    <xf numFmtId="4" fontId="15" fillId="0" borderId="1" xfId="0" applyNumberFormat="1" applyFont="1" applyBorder="1" applyAlignment="1">
      <alignment horizontal="right"/>
    </xf>
    <xf numFmtId="3" fontId="15" fillId="0" borderId="1" xfId="0" applyNumberFormat="1" applyFont="1" applyBorder="1" applyAlignment="1">
      <alignment horizontal="center"/>
    </xf>
    <xf numFmtId="0" fontId="18" fillId="0" borderId="0" xfId="0" applyFont="1"/>
    <xf numFmtId="0" fontId="18" fillId="0" borderId="1" xfId="0" applyFont="1" applyBorder="1"/>
    <xf numFmtId="0" fontId="2" fillId="0" borderId="0" xfId="0" applyFont="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5"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165" fontId="4" fillId="3" borderId="1" xfId="0" applyNumberFormat="1" applyFont="1" applyFill="1" applyBorder="1" applyAlignment="1">
      <alignment horizontal="right" vertical="center"/>
    </xf>
    <xf numFmtId="3" fontId="4" fillId="3" borderId="1" xfId="0" applyNumberFormat="1" applyFont="1" applyFill="1" applyBorder="1" applyAlignment="1">
      <alignment vertical="center"/>
    </xf>
    <xf numFmtId="4" fontId="4" fillId="3" borderId="1" xfId="0" applyNumberFormat="1" applyFont="1" applyFill="1" applyBorder="1" applyAlignment="1">
      <alignment vertical="center"/>
    </xf>
    <xf numFmtId="3" fontId="4" fillId="3" borderId="1" xfId="0" applyNumberFormat="1" applyFont="1" applyFill="1" applyBorder="1" applyAlignment="1">
      <alignment horizontal="center" vertical="center"/>
    </xf>
    <xf numFmtId="0" fontId="3" fillId="3" borderId="0" xfId="0" applyFont="1" applyFill="1" applyAlignment="1">
      <alignment vertical="center"/>
    </xf>
    <xf numFmtId="0" fontId="4" fillId="3" borderId="1" xfId="0" applyFont="1" applyFill="1" applyBorder="1" applyAlignment="1">
      <alignment vertical="center" wrapText="1"/>
    </xf>
    <xf numFmtId="3" fontId="4" fillId="3"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3" fontId="14" fillId="3" borderId="1" xfId="3" applyNumberFormat="1" applyFont="1" applyFill="1" applyBorder="1" applyAlignment="1">
      <alignment horizontal="left" vertical="center"/>
    </xf>
    <xf numFmtId="3" fontId="4" fillId="3" borderId="1" xfId="3" applyNumberFormat="1" applyFont="1" applyFill="1" applyBorder="1" applyAlignment="1">
      <alignment horizontal="center" vertical="center"/>
    </xf>
    <xf numFmtId="0" fontId="13"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167" fontId="4" fillId="3" borderId="1" xfId="1" applyNumberFormat="1" applyFont="1" applyFill="1" applyBorder="1" applyAlignment="1">
      <alignment horizontal="center" vertical="center"/>
    </xf>
    <xf numFmtId="0" fontId="0" fillId="3" borderId="0" xfId="0" applyFill="1"/>
    <xf numFmtId="0" fontId="3" fillId="3" borderId="0" xfId="0" applyFont="1" applyFill="1"/>
    <xf numFmtId="3" fontId="4" fillId="3" borderId="1" xfId="3" applyNumberFormat="1" applyFont="1" applyFill="1" applyBorder="1" applyAlignment="1">
      <alignment horizontal="left" vertical="center"/>
    </xf>
    <xf numFmtId="0" fontId="5" fillId="4" borderId="1" xfId="0" applyFont="1" applyFill="1" applyBorder="1" applyAlignment="1">
      <alignment horizontal="center" vertical="center"/>
    </xf>
    <xf numFmtId="3" fontId="4" fillId="4" borderId="1" xfId="3" applyNumberFormat="1" applyFont="1" applyFill="1" applyBorder="1" applyAlignment="1">
      <alignment horizontal="left" vertical="center"/>
    </xf>
    <xf numFmtId="3" fontId="4" fillId="4" borderId="1" xfId="3" applyNumberFormat="1" applyFont="1" applyFill="1" applyBorder="1" applyAlignment="1">
      <alignment horizontal="center" vertical="center"/>
    </xf>
    <xf numFmtId="167" fontId="4" fillId="4" borderId="1" xfId="1" applyNumberFormat="1" applyFont="1" applyFill="1" applyBorder="1" applyAlignment="1">
      <alignment horizontal="center" vertical="center"/>
    </xf>
    <xf numFmtId="0" fontId="0" fillId="4" borderId="0" xfId="0" applyFill="1"/>
    <xf numFmtId="0" fontId="3" fillId="4" borderId="0" xfId="0" applyFont="1" applyFill="1"/>
    <xf numFmtId="0" fontId="8" fillId="4"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vertical="center"/>
    </xf>
    <xf numFmtId="165" fontId="4" fillId="4" borderId="1" xfId="0" applyNumberFormat="1" applyFont="1" applyFill="1" applyBorder="1" applyAlignment="1">
      <alignment horizontal="right" vertical="center"/>
    </xf>
    <xf numFmtId="3" fontId="4" fillId="4" borderId="1" xfId="0" applyNumberFormat="1" applyFont="1" applyFill="1" applyBorder="1" applyAlignment="1">
      <alignment vertical="center"/>
    </xf>
    <xf numFmtId="4" fontId="4" fillId="4" borderId="1" xfId="0" applyNumberFormat="1" applyFont="1" applyFill="1" applyBorder="1" applyAlignment="1">
      <alignment vertical="center"/>
    </xf>
    <xf numFmtId="3" fontId="4" fillId="4" borderId="1" xfId="0" applyNumberFormat="1" applyFont="1" applyFill="1" applyBorder="1" applyAlignment="1">
      <alignment horizontal="center" vertical="center"/>
    </xf>
    <xf numFmtId="0" fontId="3" fillId="4" borderId="0" xfId="0" applyFont="1" applyFill="1" applyAlignment="1">
      <alignment vertical="center"/>
    </xf>
    <xf numFmtId="3" fontId="3" fillId="4" borderId="1" xfId="0" applyNumberFormat="1" applyFont="1" applyFill="1" applyBorder="1" applyAlignment="1">
      <alignment vertical="center"/>
    </xf>
    <xf numFmtId="0" fontId="3" fillId="4" borderId="1" xfId="0" applyFont="1" applyFill="1" applyBorder="1" applyAlignment="1">
      <alignment vertical="center"/>
    </xf>
    <xf numFmtId="0" fontId="4" fillId="4" borderId="1" xfId="0" applyFont="1" applyFill="1" applyBorder="1" applyAlignment="1">
      <alignment vertical="center" wrapText="1"/>
    </xf>
    <xf numFmtId="3" fontId="4" fillId="4" borderId="1" xfId="0" applyNumberFormat="1" applyFont="1" applyFill="1" applyBorder="1" applyAlignment="1">
      <alignment horizontal="righ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7" fontId="3" fillId="4" borderId="1" xfId="1" applyNumberFormat="1" applyFont="1" applyFill="1" applyBorder="1" applyAlignment="1">
      <alignment vertical="center"/>
    </xf>
    <xf numFmtId="0" fontId="4" fillId="4" borderId="1" xfId="0" applyFont="1" applyFill="1" applyBorder="1" applyAlignment="1">
      <alignment horizontal="right" vertical="center" wrapText="1"/>
    </xf>
    <xf numFmtId="0" fontId="5" fillId="5" borderId="1" xfId="0" applyFont="1" applyFill="1" applyBorder="1" applyAlignment="1">
      <alignment horizontal="center" vertical="center"/>
    </xf>
    <xf numFmtId="3" fontId="4" fillId="5" borderId="1" xfId="3" applyNumberFormat="1" applyFont="1" applyFill="1" applyBorder="1" applyAlignment="1">
      <alignment horizontal="left" vertical="center"/>
    </xf>
    <xf numFmtId="3" fontId="4" fillId="5" borderId="1" xfId="3" applyNumberFormat="1" applyFont="1" applyFill="1" applyBorder="1" applyAlignment="1">
      <alignment horizontal="center" vertical="center"/>
    </xf>
    <xf numFmtId="0" fontId="13" fillId="5" borderId="1" xfId="2" applyFont="1" applyFill="1" applyBorder="1" applyAlignment="1">
      <alignment horizontal="center" vertical="center" wrapText="1"/>
    </xf>
    <xf numFmtId="0" fontId="4" fillId="5" borderId="1" xfId="2" applyFont="1" applyFill="1" applyBorder="1" applyAlignment="1">
      <alignment horizontal="center" vertical="center"/>
    </xf>
    <xf numFmtId="167" fontId="4" fillId="5" borderId="1" xfId="1" applyNumberFormat="1" applyFont="1" applyFill="1" applyBorder="1" applyAlignment="1">
      <alignment horizontal="center" vertical="center"/>
    </xf>
    <xf numFmtId="0" fontId="0" fillId="5" borderId="0" xfId="0" applyFill="1"/>
    <xf numFmtId="0" fontId="3" fillId="5"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vertical="center" wrapText="1"/>
    </xf>
    <xf numFmtId="165" fontId="4" fillId="5" borderId="1" xfId="0" applyNumberFormat="1" applyFont="1" applyFill="1" applyBorder="1" applyAlignment="1">
      <alignment horizontal="right" vertical="center"/>
    </xf>
    <xf numFmtId="3" fontId="4" fillId="5" borderId="1" xfId="0" applyNumberFormat="1" applyFont="1" applyFill="1" applyBorder="1" applyAlignment="1">
      <alignment vertical="center"/>
    </xf>
    <xf numFmtId="4" fontId="4" fillId="5" borderId="1" xfId="0" applyNumberFormat="1" applyFont="1" applyFill="1" applyBorder="1" applyAlignment="1">
      <alignment vertical="center"/>
    </xf>
    <xf numFmtId="3" fontId="4" fillId="5" borderId="1" xfId="0" applyNumberFormat="1" applyFont="1" applyFill="1" applyBorder="1" applyAlignment="1">
      <alignment horizontal="center" vertical="center"/>
    </xf>
    <xf numFmtId="0" fontId="3" fillId="5" borderId="0" xfId="0" applyFont="1" applyFill="1" applyAlignment="1">
      <alignment vertical="center"/>
    </xf>
    <xf numFmtId="3" fontId="3" fillId="5" borderId="1" xfId="0" applyNumberFormat="1" applyFont="1" applyFill="1" applyBorder="1" applyAlignment="1">
      <alignment vertical="center"/>
    </xf>
    <xf numFmtId="0" fontId="3" fillId="5" borderId="1" xfId="0" applyFont="1" applyFill="1" applyBorder="1" applyAlignment="1">
      <alignment vertical="center"/>
    </xf>
    <xf numFmtId="0" fontId="4" fillId="5" borderId="1" xfId="0" applyFont="1" applyFill="1" applyBorder="1" applyAlignment="1">
      <alignment horizontal="center" vertical="center" wrapText="1"/>
    </xf>
    <xf numFmtId="0" fontId="4" fillId="5" borderId="1" xfId="0" applyFont="1" applyFill="1" applyBorder="1" applyAlignment="1">
      <alignment vertical="center"/>
    </xf>
    <xf numFmtId="3" fontId="4" fillId="5" borderId="0" xfId="0" applyNumberFormat="1" applyFont="1" applyFill="1" applyAlignment="1">
      <alignment vertical="center"/>
    </xf>
  </cellXfs>
  <cellStyles count="4">
    <cellStyle name="Comma" xfId="1" builtinId="3"/>
    <cellStyle name="Normal" xfId="0" builtinId="0"/>
    <cellStyle name="Normal 2" xfId="2" xr:uid="{9DF44DA1-C30D-487E-982C-427BD9097AD7}"/>
    <cellStyle name="Normal 2 2 2 2" xfId="3" xr:uid="{3BAF291A-CEB8-42CC-A79B-A660933FB5C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uan nguyen" id="{BB0E6A80-AD6C-43F3-9266-F59EC760342A}" userId="5879cc161e1fb86d"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15" dT="2023-09-07T01:44:22.99" personId="{BB0E6A80-AD6C-43F3-9266-F59EC760342A}" id="{2828E7A9-8B88-4A59-AFB9-064759E4FBDB}">
    <text>Phòng NN thẩm định</text>
  </threadedComment>
  <threadedComment ref="I128" dT="2023-09-07T01:39:45.16" personId="{BB0E6A80-AD6C-43F3-9266-F59EC760342A}" id="{9A220D0F-F66F-4798-9E59-7F16ABF177A8}">
    <text>KTHT thẩm định</text>
  </threadedComment>
  <threadedComment ref="I264" dT="2023-09-07T01:45:07.09" personId="{BB0E6A80-AD6C-43F3-9266-F59EC760342A}" id="{6B21967F-000A-4EEC-A555-769C8C9D0004}">
    <text>Phòng NN thẩm định</text>
  </threadedComment>
  <threadedComment ref="I267" dT="2023-09-07T01:45:29.36" personId="{BB0E6A80-AD6C-43F3-9266-F59EC760342A}" id="{77E4E855-6216-4B2D-9AC0-F8EB6996121E}">
    <text>Phòng NN thẩm định</text>
  </threadedComment>
  <threadedComment ref="I332" dT="2023-09-07T01:35:07.43" personId="{BB0E6A80-AD6C-43F3-9266-F59EC760342A}" id="{6D48AB76-E0FA-4A8A-A48C-76CA4AE5E27A}">
    <text>KTHT thẩm định điều chỉnh</text>
  </threadedComment>
  <threadedComment ref="I442" dT="2023-09-07T01:36:36.19" personId="{BB0E6A80-AD6C-43F3-9266-F59EC760342A}" id="{920720FA-99D4-4D41-9FD8-B33200D9F191}">
    <text>KTHT thẩm định điều chỉnh</text>
  </threadedComment>
  <threadedComment ref="I581" dT="2023-09-07T01:37:56.04" personId="{BB0E6A80-AD6C-43F3-9266-F59EC760342A}" id="{5A958B2F-98B0-491B-A20D-94E3B12F61E4}">
    <text>KTHT thẩm định</text>
  </threadedComment>
  <threadedComment ref="I685" dT="2023-09-07T01:38:56.82" personId="{BB0E6A80-AD6C-43F3-9266-F59EC760342A}" id="{4C7E6D66-4D1F-4DB6-B5AF-5B7CF4D4D433}">
    <text>KTHT thẩm định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7"/>
  <sheetViews>
    <sheetView tabSelected="1" view="pageBreakPreview" zoomScaleNormal="100" zoomScaleSheetLayoutView="100" workbookViewId="0">
      <pane ySplit="4" topLeftCell="A683" activePane="bottomLeft" state="frozen"/>
      <selection pane="bottomLeft" activeCell="L692" sqref="L692"/>
    </sheetView>
  </sheetViews>
  <sheetFormatPr defaultColWidth="9.140625" defaultRowHeight="15.75" x14ac:dyDescent="0.25"/>
  <cols>
    <col min="1" max="1" width="5.42578125" style="33" customWidth="1"/>
    <col min="2" max="2" width="37.28515625" style="1" bestFit="1" customWidth="1"/>
    <col min="3" max="3" width="6.140625" style="33" customWidth="1"/>
    <col min="4" max="4" width="5.5703125" style="33" customWidth="1"/>
    <col min="5" max="5" width="7.85546875" style="34" customWidth="1"/>
    <col min="6" max="6" width="8.5703125" style="34" customWidth="1"/>
    <col min="7" max="7" width="25.42578125" style="33" customWidth="1"/>
    <col min="8" max="8" width="12.140625" style="35" customWidth="1"/>
    <col min="9" max="9" width="13.5703125" style="36" customWidth="1"/>
    <col min="10" max="10" width="5.85546875" style="40" customWidth="1"/>
    <col min="11" max="11" width="19.7109375" style="36" customWidth="1"/>
    <col min="12" max="12" width="9.140625" style="38"/>
    <col min="13" max="13" width="0" style="1" hidden="1" customWidth="1"/>
    <col min="14" max="14" width="12.85546875" style="1" hidden="1" customWidth="1"/>
    <col min="15" max="15" width="9.140625" style="1" hidden="1" customWidth="1"/>
    <col min="16" max="16384" width="9.140625" style="1"/>
  </cols>
  <sheetData>
    <row r="1" spans="1:15" x14ac:dyDescent="0.25">
      <c r="A1" s="120" t="s">
        <v>840</v>
      </c>
      <c r="B1" s="120"/>
      <c r="C1" s="120"/>
      <c r="D1" s="120"/>
      <c r="E1" s="120"/>
      <c r="F1" s="120"/>
      <c r="G1" s="120"/>
      <c r="H1" s="120"/>
      <c r="I1" s="120"/>
      <c r="J1" s="120"/>
      <c r="K1" s="120"/>
      <c r="L1" s="120"/>
    </row>
    <row r="2" spans="1:15" ht="42.75" customHeight="1" x14ac:dyDescent="0.25">
      <c r="A2" s="119" t="s">
        <v>841</v>
      </c>
      <c r="B2" s="119"/>
      <c r="C2" s="119"/>
      <c r="D2" s="119"/>
      <c r="E2" s="119"/>
      <c r="F2" s="119"/>
      <c r="G2" s="119"/>
      <c r="H2" s="119"/>
      <c r="I2" s="119"/>
      <c r="J2" s="119"/>
      <c r="K2" s="119"/>
      <c r="L2" s="119"/>
    </row>
    <row r="4" spans="1:15" s="4" customFormat="1" ht="36.75" customHeight="1" x14ac:dyDescent="0.25">
      <c r="A4" s="13" t="s">
        <v>0</v>
      </c>
      <c r="B4" s="13" t="s">
        <v>1</v>
      </c>
      <c r="C4" s="47" t="s">
        <v>2</v>
      </c>
      <c r="D4" s="13" t="s">
        <v>3</v>
      </c>
      <c r="E4" s="13" t="s">
        <v>4</v>
      </c>
      <c r="F4" s="47" t="s">
        <v>5</v>
      </c>
      <c r="G4" s="13" t="s">
        <v>6</v>
      </c>
      <c r="H4" s="48" t="s">
        <v>7</v>
      </c>
      <c r="I4" s="49" t="s">
        <v>11</v>
      </c>
      <c r="J4" s="50" t="s">
        <v>821</v>
      </c>
      <c r="K4" s="49" t="s">
        <v>8</v>
      </c>
      <c r="L4" s="49" t="s">
        <v>533</v>
      </c>
      <c r="N4" s="3" t="s">
        <v>819</v>
      </c>
      <c r="O4" s="2" t="s">
        <v>820</v>
      </c>
    </row>
    <row r="5" spans="1:15" s="4" customFormat="1" x14ac:dyDescent="0.25">
      <c r="A5" s="127"/>
      <c r="B5" s="128"/>
      <c r="C5" s="129"/>
      <c r="D5" s="128"/>
      <c r="E5" s="128"/>
      <c r="F5" s="129"/>
      <c r="G5" s="128"/>
      <c r="H5" s="130"/>
      <c r="I5" s="131"/>
      <c r="J5" s="132"/>
      <c r="K5" s="49"/>
      <c r="L5" s="49"/>
      <c r="N5" s="3"/>
      <c r="O5" s="2"/>
    </row>
    <row r="6" spans="1:15" s="4" customFormat="1" x14ac:dyDescent="0.25">
      <c r="A6" s="51" t="s">
        <v>844</v>
      </c>
      <c r="B6" s="52"/>
      <c r="C6" s="52"/>
      <c r="D6" s="52"/>
      <c r="E6" s="52"/>
      <c r="F6" s="52"/>
      <c r="G6" s="52"/>
      <c r="H6" s="52"/>
      <c r="I6" s="52"/>
      <c r="J6" s="53"/>
      <c r="K6" s="49"/>
      <c r="L6" s="49"/>
      <c r="N6" s="3"/>
      <c r="O6" s="2"/>
    </row>
    <row r="7" spans="1:15" customFormat="1" x14ac:dyDescent="0.25">
      <c r="A7" s="54">
        <v>1</v>
      </c>
      <c r="B7" s="55" t="s">
        <v>843</v>
      </c>
      <c r="C7" s="54">
        <v>2</v>
      </c>
      <c r="D7" s="54">
        <v>124</v>
      </c>
      <c r="E7" s="54"/>
      <c r="F7" s="56"/>
      <c r="G7" s="57"/>
      <c r="H7" s="56"/>
      <c r="I7" s="58"/>
      <c r="J7" s="58"/>
      <c r="K7" s="59">
        <f>+SUM(K8:K13)</f>
        <v>2938000</v>
      </c>
      <c r="L7" s="60"/>
      <c r="N7" s="41"/>
    </row>
    <row r="8" spans="1:15" s="151" customFormat="1" ht="25.5" x14ac:dyDescent="0.25">
      <c r="A8" s="145"/>
      <c r="B8" s="146" t="s">
        <v>823</v>
      </c>
      <c r="C8" s="145"/>
      <c r="D8" s="145"/>
      <c r="E8" s="147" t="s">
        <v>824</v>
      </c>
      <c r="F8" s="147"/>
      <c r="G8" s="148" t="s">
        <v>822</v>
      </c>
      <c r="H8" s="149">
        <v>760.6</v>
      </c>
      <c r="I8" s="150"/>
      <c r="J8" s="150">
        <v>1</v>
      </c>
      <c r="K8" s="150">
        <f>H8*I8*J8</f>
        <v>0</v>
      </c>
      <c r="L8" s="147"/>
    </row>
    <row r="9" spans="1:15" s="183" customFormat="1" x14ac:dyDescent="0.25">
      <c r="A9" s="177"/>
      <c r="B9" s="178" t="s">
        <v>825</v>
      </c>
      <c r="C9" s="177"/>
      <c r="D9" s="177"/>
      <c r="E9" s="179"/>
      <c r="F9" s="179"/>
      <c r="G9" s="180"/>
      <c r="H9" s="181"/>
      <c r="I9" s="182"/>
      <c r="J9" s="182">
        <v>1</v>
      </c>
      <c r="K9" s="182">
        <f t="shared" ref="K9:K34" si="0">H9*I9*J9</f>
        <v>0</v>
      </c>
      <c r="L9" s="179"/>
    </row>
    <row r="10" spans="1:15" s="158" customFormat="1" x14ac:dyDescent="0.25">
      <c r="A10" s="154"/>
      <c r="B10" s="155" t="s">
        <v>826</v>
      </c>
      <c r="C10" s="156"/>
      <c r="D10" s="156"/>
      <c r="E10" s="156" t="s">
        <v>824</v>
      </c>
      <c r="F10" s="156"/>
      <c r="G10" s="156" t="s">
        <v>827</v>
      </c>
      <c r="H10" s="156">
        <v>50</v>
      </c>
      <c r="I10" s="156">
        <v>13000</v>
      </c>
      <c r="J10" s="157">
        <v>1</v>
      </c>
      <c r="K10" s="157">
        <f t="shared" si="0"/>
        <v>650000</v>
      </c>
      <c r="L10" s="156"/>
    </row>
    <row r="11" spans="1:15" s="158" customFormat="1" x14ac:dyDescent="0.25">
      <c r="A11" s="154"/>
      <c r="B11" s="155" t="s">
        <v>826</v>
      </c>
      <c r="C11" s="156"/>
      <c r="D11" s="156"/>
      <c r="E11" s="156"/>
      <c r="F11" s="156"/>
      <c r="G11" s="156" t="s">
        <v>828</v>
      </c>
      <c r="H11" s="156">
        <v>61</v>
      </c>
      <c r="I11" s="156">
        <v>13000</v>
      </c>
      <c r="J11" s="157">
        <v>1</v>
      </c>
      <c r="K11" s="157">
        <f t="shared" si="0"/>
        <v>793000</v>
      </c>
      <c r="L11" s="156"/>
    </row>
    <row r="12" spans="1:15" s="158" customFormat="1" x14ac:dyDescent="0.25">
      <c r="A12" s="154"/>
      <c r="B12" s="155" t="s">
        <v>826</v>
      </c>
      <c r="C12" s="156"/>
      <c r="D12" s="156"/>
      <c r="E12" s="156" t="s">
        <v>824</v>
      </c>
      <c r="F12" s="156"/>
      <c r="G12" s="156" t="s">
        <v>829</v>
      </c>
      <c r="H12" s="156">
        <v>75</v>
      </c>
      <c r="I12" s="156">
        <v>13000</v>
      </c>
      <c r="J12" s="157">
        <v>1</v>
      </c>
      <c r="K12" s="157">
        <f t="shared" si="0"/>
        <v>975000</v>
      </c>
      <c r="L12" s="156"/>
    </row>
    <row r="13" spans="1:15" s="158" customFormat="1" x14ac:dyDescent="0.25">
      <c r="A13" s="154"/>
      <c r="B13" s="155" t="s">
        <v>826</v>
      </c>
      <c r="C13" s="156"/>
      <c r="D13" s="156"/>
      <c r="E13" s="156" t="s">
        <v>824</v>
      </c>
      <c r="F13" s="156"/>
      <c r="G13" s="156" t="s">
        <v>830</v>
      </c>
      <c r="H13" s="156">
        <v>20</v>
      </c>
      <c r="I13" s="156">
        <v>26000</v>
      </c>
      <c r="J13" s="157">
        <v>1</v>
      </c>
      <c r="K13" s="157">
        <f t="shared" si="0"/>
        <v>520000</v>
      </c>
      <c r="L13" s="156"/>
    </row>
    <row r="14" spans="1:15" customFormat="1" x14ac:dyDescent="0.25">
      <c r="A14" s="54">
        <v>2</v>
      </c>
      <c r="B14" s="61" t="s">
        <v>666</v>
      </c>
      <c r="C14" s="61">
        <v>2</v>
      </c>
      <c r="D14" s="61">
        <v>65</v>
      </c>
      <c r="E14" s="61"/>
      <c r="F14" s="62"/>
      <c r="G14" s="57"/>
      <c r="H14" s="63"/>
      <c r="I14" s="64"/>
      <c r="J14" s="64"/>
      <c r="K14" s="59">
        <f>SUM(K17:K19)</f>
        <v>3146000</v>
      </c>
      <c r="L14" s="60"/>
    </row>
    <row r="15" spans="1:15" s="151" customFormat="1" ht="25.5" x14ac:dyDescent="0.25">
      <c r="A15" s="145"/>
      <c r="B15" s="146" t="s">
        <v>823</v>
      </c>
      <c r="C15" s="145"/>
      <c r="D15" s="145"/>
      <c r="E15" s="147" t="s">
        <v>824</v>
      </c>
      <c r="F15" s="147"/>
      <c r="G15" s="148" t="s">
        <v>822</v>
      </c>
      <c r="H15" s="149">
        <v>344.8</v>
      </c>
      <c r="I15" s="150">
        <v>0</v>
      </c>
      <c r="J15" s="150">
        <v>1</v>
      </c>
      <c r="K15" s="150">
        <f>H15*I15*J15</f>
        <v>0</v>
      </c>
      <c r="L15" s="147"/>
    </row>
    <row r="16" spans="1:15" s="183" customFormat="1" x14ac:dyDescent="0.25">
      <c r="A16" s="177"/>
      <c r="B16" s="178" t="s">
        <v>825</v>
      </c>
      <c r="C16" s="177"/>
      <c r="D16" s="177"/>
      <c r="E16" s="179"/>
      <c r="F16" s="179"/>
      <c r="G16" s="180"/>
      <c r="H16" s="181"/>
      <c r="I16" s="182"/>
      <c r="J16" s="182">
        <v>1</v>
      </c>
      <c r="K16" s="182">
        <f t="shared" si="0"/>
        <v>0</v>
      </c>
      <c r="L16" s="179"/>
    </row>
    <row r="17" spans="1:13" s="158" customFormat="1" x14ac:dyDescent="0.25">
      <c r="A17" s="154"/>
      <c r="B17" s="155" t="s">
        <v>826</v>
      </c>
      <c r="C17" s="156"/>
      <c r="D17" s="156"/>
      <c r="E17" s="156" t="s">
        <v>824</v>
      </c>
      <c r="F17" s="156"/>
      <c r="G17" s="156" t="s">
        <v>827</v>
      </c>
      <c r="H17" s="156">
        <v>70</v>
      </c>
      <c r="I17" s="156">
        <v>13000</v>
      </c>
      <c r="J17" s="157">
        <v>1</v>
      </c>
      <c r="K17" s="157">
        <f>H17*I17*J17</f>
        <v>910000</v>
      </c>
      <c r="L17" s="156"/>
    </row>
    <row r="18" spans="1:13" s="158" customFormat="1" x14ac:dyDescent="0.25">
      <c r="A18" s="154"/>
      <c r="B18" s="155" t="s">
        <v>826</v>
      </c>
      <c r="C18" s="156"/>
      <c r="D18" s="156"/>
      <c r="E18" s="156" t="s">
        <v>824</v>
      </c>
      <c r="F18" s="156"/>
      <c r="G18" s="156" t="s">
        <v>830</v>
      </c>
      <c r="H18" s="156">
        <v>35</v>
      </c>
      <c r="I18" s="156">
        <v>26000</v>
      </c>
      <c r="J18" s="157">
        <v>1</v>
      </c>
      <c r="K18" s="157">
        <f t="shared" si="0"/>
        <v>910000</v>
      </c>
      <c r="L18" s="156"/>
    </row>
    <row r="19" spans="1:13" s="158" customFormat="1" x14ac:dyDescent="0.25">
      <c r="A19" s="154"/>
      <c r="B19" s="155" t="s">
        <v>826</v>
      </c>
      <c r="C19" s="156"/>
      <c r="D19" s="156"/>
      <c r="E19" s="156" t="s">
        <v>824</v>
      </c>
      <c r="F19" s="156"/>
      <c r="G19" s="156" t="s">
        <v>829</v>
      </c>
      <c r="H19" s="156">
        <v>102</v>
      </c>
      <c r="I19" s="156">
        <v>13000</v>
      </c>
      <c r="J19" s="157">
        <v>1</v>
      </c>
      <c r="K19" s="157">
        <f t="shared" si="0"/>
        <v>1326000</v>
      </c>
      <c r="L19" s="156"/>
    </row>
    <row r="20" spans="1:13" customFormat="1" x14ac:dyDescent="0.25">
      <c r="A20" s="54">
        <v>3</v>
      </c>
      <c r="B20" s="55" t="s">
        <v>831</v>
      </c>
      <c r="C20" s="54">
        <v>2</v>
      </c>
      <c r="D20" s="54">
        <v>95</v>
      </c>
      <c r="E20" s="56"/>
      <c r="F20" s="56"/>
      <c r="G20" s="57"/>
      <c r="H20" s="56"/>
      <c r="I20" s="58"/>
      <c r="J20" s="58"/>
      <c r="K20" s="59">
        <f>+SUM(K21:K26)</f>
        <v>3159000</v>
      </c>
      <c r="L20" s="60"/>
    </row>
    <row r="21" spans="1:13" s="151" customFormat="1" ht="25.5" x14ac:dyDescent="0.25">
      <c r="A21" s="145"/>
      <c r="B21" s="146" t="s">
        <v>823</v>
      </c>
      <c r="C21" s="145"/>
      <c r="D21" s="145"/>
      <c r="E21" s="147" t="s">
        <v>824</v>
      </c>
      <c r="F21" s="147"/>
      <c r="G21" s="148" t="s">
        <v>822</v>
      </c>
      <c r="H21" s="149">
        <v>784.1</v>
      </c>
      <c r="I21" s="150">
        <v>0</v>
      </c>
      <c r="J21" s="150">
        <v>1</v>
      </c>
      <c r="K21" s="150">
        <f t="shared" si="0"/>
        <v>0</v>
      </c>
      <c r="L21" s="147"/>
    </row>
    <row r="22" spans="1:13" s="183" customFormat="1" x14ac:dyDescent="0.25">
      <c r="A22" s="177"/>
      <c r="B22" s="178" t="s">
        <v>825</v>
      </c>
      <c r="C22" s="177"/>
      <c r="D22" s="177"/>
      <c r="E22" s="179"/>
      <c r="F22" s="179"/>
      <c r="G22" s="180"/>
      <c r="H22" s="181"/>
      <c r="I22" s="182"/>
      <c r="J22" s="182">
        <v>1</v>
      </c>
      <c r="K22" s="182">
        <f t="shared" si="0"/>
        <v>0</v>
      </c>
      <c r="L22" s="179"/>
    </row>
    <row r="23" spans="1:13" s="158" customFormat="1" x14ac:dyDescent="0.25">
      <c r="A23" s="154"/>
      <c r="B23" s="155" t="s">
        <v>826</v>
      </c>
      <c r="C23" s="156"/>
      <c r="D23" s="156"/>
      <c r="E23" s="156" t="s">
        <v>824</v>
      </c>
      <c r="F23" s="156"/>
      <c r="G23" s="156" t="s">
        <v>827</v>
      </c>
      <c r="H23" s="156">
        <v>28</v>
      </c>
      <c r="I23" s="156">
        <v>13000</v>
      </c>
      <c r="J23" s="157">
        <v>1</v>
      </c>
      <c r="K23" s="157">
        <f t="shared" si="0"/>
        <v>364000</v>
      </c>
      <c r="L23" s="156"/>
      <c r="M23" s="159"/>
    </row>
    <row r="24" spans="1:13" s="160" customFormat="1" x14ac:dyDescent="0.25">
      <c r="A24" s="154"/>
      <c r="B24" s="155" t="s">
        <v>826</v>
      </c>
      <c r="C24" s="156"/>
      <c r="D24" s="156"/>
      <c r="E24" s="156" t="s">
        <v>824</v>
      </c>
      <c r="F24" s="156"/>
      <c r="G24" s="156" t="s">
        <v>828</v>
      </c>
      <c r="H24" s="156">
        <v>68</v>
      </c>
      <c r="I24" s="156">
        <v>13000</v>
      </c>
      <c r="J24" s="157">
        <v>1</v>
      </c>
      <c r="K24" s="157">
        <f t="shared" si="0"/>
        <v>884000</v>
      </c>
      <c r="L24" s="156"/>
      <c r="M24" s="159"/>
    </row>
    <row r="25" spans="1:13" s="160" customFormat="1" x14ac:dyDescent="0.25">
      <c r="A25" s="154"/>
      <c r="B25" s="155" t="s">
        <v>826</v>
      </c>
      <c r="C25" s="156"/>
      <c r="D25" s="156"/>
      <c r="E25" s="156" t="s">
        <v>824</v>
      </c>
      <c r="F25" s="156"/>
      <c r="G25" s="156" t="s">
        <v>829</v>
      </c>
      <c r="H25" s="156">
        <v>47</v>
      </c>
      <c r="I25" s="156">
        <v>13000</v>
      </c>
      <c r="J25" s="157">
        <v>1</v>
      </c>
      <c r="K25" s="157">
        <f t="shared" si="0"/>
        <v>611000</v>
      </c>
      <c r="L25" s="156"/>
      <c r="M25" s="159"/>
    </row>
    <row r="26" spans="1:13" s="158" customFormat="1" x14ac:dyDescent="0.25">
      <c r="A26" s="154"/>
      <c r="B26" s="155" t="s">
        <v>826</v>
      </c>
      <c r="C26" s="156"/>
      <c r="D26" s="156"/>
      <c r="E26" s="156" t="s">
        <v>824</v>
      </c>
      <c r="F26" s="156"/>
      <c r="G26" s="156" t="s">
        <v>830</v>
      </c>
      <c r="H26" s="156">
        <v>50</v>
      </c>
      <c r="I26" s="156">
        <v>26000</v>
      </c>
      <c r="J26" s="157">
        <v>1</v>
      </c>
      <c r="K26" s="157">
        <f t="shared" si="0"/>
        <v>1300000</v>
      </c>
      <c r="L26" s="156"/>
      <c r="M26" s="159"/>
    </row>
    <row r="27" spans="1:13" customFormat="1" x14ac:dyDescent="0.25">
      <c r="A27" s="54">
        <v>4</v>
      </c>
      <c r="B27" s="55" t="s">
        <v>832</v>
      </c>
      <c r="C27" s="54">
        <v>2</v>
      </c>
      <c r="D27" s="54">
        <v>134</v>
      </c>
      <c r="E27" s="56"/>
      <c r="F27" s="56"/>
      <c r="G27" s="57"/>
      <c r="H27" s="56"/>
      <c r="I27" s="58"/>
      <c r="J27" s="58"/>
      <c r="K27" s="59">
        <f>+SUM(K28:K32)</f>
        <v>1820000</v>
      </c>
      <c r="L27" s="60"/>
      <c r="M27" s="1"/>
    </row>
    <row r="28" spans="1:13" s="151" customFormat="1" ht="25.5" x14ac:dyDescent="0.25">
      <c r="A28" s="145"/>
      <c r="B28" s="146" t="s">
        <v>823</v>
      </c>
      <c r="C28" s="145"/>
      <c r="D28" s="145"/>
      <c r="E28" s="147" t="s">
        <v>824</v>
      </c>
      <c r="F28" s="147"/>
      <c r="G28" s="148" t="s">
        <v>822</v>
      </c>
      <c r="H28" s="149">
        <v>435.8</v>
      </c>
      <c r="I28" s="150">
        <v>0</v>
      </c>
      <c r="J28" s="150">
        <v>1</v>
      </c>
      <c r="K28" s="150">
        <f t="shared" si="0"/>
        <v>0</v>
      </c>
      <c r="L28" s="147"/>
      <c r="M28" s="152"/>
    </row>
    <row r="29" spans="1:13" s="183" customFormat="1" x14ac:dyDescent="0.25">
      <c r="A29" s="177"/>
      <c r="B29" s="178" t="s">
        <v>825</v>
      </c>
      <c r="C29" s="177"/>
      <c r="D29" s="177"/>
      <c r="E29" s="179"/>
      <c r="F29" s="179"/>
      <c r="G29" s="180"/>
      <c r="H29" s="181"/>
      <c r="I29" s="182"/>
      <c r="J29" s="182">
        <v>1</v>
      </c>
      <c r="K29" s="182">
        <f t="shared" si="0"/>
        <v>0</v>
      </c>
      <c r="L29" s="179"/>
      <c r="M29" s="184"/>
    </row>
    <row r="30" spans="1:13" s="158" customFormat="1" x14ac:dyDescent="0.25">
      <c r="A30" s="154"/>
      <c r="B30" s="155" t="s">
        <v>826</v>
      </c>
      <c r="C30" s="156"/>
      <c r="D30" s="156"/>
      <c r="E30" s="156" t="s">
        <v>824</v>
      </c>
      <c r="F30" s="156"/>
      <c r="G30" s="156" t="s">
        <v>828</v>
      </c>
      <c r="H30" s="156">
        <v>24</v>
      </c>
      <c r="I30" s="156">
        <v>13000</v>
      </c>
      <c r="J30" s="157">
        <v>1</v>
      </c>
      <c r="K30" s="157">
        <f t="shared" si="0"/>
        <v>312000</v>
      </c>
      <c r="L30" s="156"/>
      <c r="M30" s="159"/>
    </row>
    <row r="31" spans="1:13" s="158" customFormat="1" x14ac:dyDescent="0.25">
      <c r="A31" s="154"/>
      <c r="B31" s="155" t="s">
        <v>826</v>
      </c>
      <c r="C31" s="156"/>
      <c r="D31" s="156"/>
      <c r="E31" s="156" t="s">
        <v>824</v>
      </c>
      <c r="F31" s="156"/>
      <c r="G31" s="156" t="s">
        <v>829</v>
      </c>
      <c r="H31" s="156">
        <v>74</v>
      </c>
      <c r="I31" s="156">
        <v>13000</v>
      </c>
      <c r="J31" s="157">
        <v>1</v>
      </c>
      <c r="K31" s="157">
        <f t="shared" si="0"/>
        <v>962000</v>
      </c>
      <c r="L31" s="156"/>
      <c r="M31" s="159"/>
    </row>
    <row r="32" spans="1:13" s="158" customFormat="1" x14ac:dyDescent="0.25">
      <c r="A32" s="154"/>
      <c r="B32" s="155" t="s">
        <v>826</v>
      </c>
      <c r="C32" s="156"/>
      <c r="D32" s="156"/>
      <c r="E32" s="156" t="s">
        <v>824</v>
      </c>
      <c r="F32" s="156"/>
      <c r="G32" s="156" t="s">
        <v>830</v>
      </c>
      <c r="H32" s="156">
        <v>21</v>
      </c>
      <c r="I32" s="156">
        <v>26000</v>
      </c>
      <c r="J32" s="157">
        <v>1</v>
      </c>
      <c r="K32" s="157">
        <f t="shared" si="0"/>
        <v>546000</v>
      </c>
      <c r="L32" s="156"/>
      <c r="M32" s="159"/>
    </row>
    <row r="33" spans="1:15" s="32" customFormat="1" x14ac:dyDescent="0.25">
      <c r="A33" s="54">
        <v>5</v>
      </c>
      <c r="B33" s="65" t="s">
        <v>833</v>
      </c>
      <c r="C33" s="66">
        <v>2</v>
      </c>
      <c r="D33" s="66">
        <v>23</v>
      </c>
      <c r="E33" s="66"/>
      <c r="F33" s="66"/>
      <c r="G33" s="57"/>
      <c r="H33" s="66"/>
      <c r="I33" s="66"/>
      <c r="J33" s="66"/>
      <c r="K33" s="58">
        <f t="shared" si="0"/>
        <v>0</v>
      </c>
      <c r="L33" s="66"/>
    </row>
    <row r="34" spans="1:15" s="151" customFormat="1" ht="25.5" x14ac:dyDescent="0.25">
      <c r="A34" s="145"/>
      <c r="B34" s="153" t="s">
        <v>834</v>
      </c>
      <c r="C34" s="145"/>
      <c r="D34" s="145"/>
      <c r="E34" s="147" t="s">
        <v>824</v>
      </c>
      <c r="F34" s="147"/>
      <c r="G34" s="148" t="s">
        <v>822</v>
      </c>
      <c r="H34" s="149">
        <v>289.3</v>
      </c>
      <c r="I34" s="150">
        <v>0</v>
      </c>
      <c r="J34" s="150">
        <v>1</v>
      </c>
      <c r="K34" s="150">
        <f t="shared" si="0"/>
        <v>0</v>
      </c>
      <c r="L34" s="147"/>
      <c r="M34" s="152"/>
    </row>
    <row r="35" spans="1:15" s="43" customFormat="1" x14ac:dyDescent="0.25">
      <c r="A35" s="67" t="s">
        <v>835</v>
      </c>
      <c r="B35" s="68" t="s">
        <v>836</v>
      </c>
      <c r="C35" s="69"/>
      <c r="D35" s="69"/>
      <c r="E35" s="69"/>
      <c r="F35" s="70"/>
      <c r="G35" s="71"/>
      <c r="H35" s="72"/>
      <c r="I35" s="73"/>
      <c r="J35" s="73"/>
      <c r="K35" s="74">
        <f>+SUM(K7:K34)/2</f>
        <v>11063000</v>
      </c>
      <c r="L35" s="74"/>
    </row>
    <row r="36" spans="1:15" s="43" customFormat="1" x14ac:dyDescent="0.25">
      <c r="A36" s="67" t="s">
        <v>837</v>
      </c>
      <c r="B36" s="68" t="s">
        <v>839</v>
      </c>
      <c r="C36" s="69"/>
      <c r="D36" s="69"/>
      <c r="E36" s="69"/>
      <c r="F36" s="70"/>
      <c r="G36" s="75"/>
      <c r="H36" s="72"/>
      <c r="I36" s="73"/>
      <c r="J36" s="73"/>
      <c r="K36" s="74">
        <f>K35*2%</f>
        <v>221260</v>
      </c>
      <c r="L36" s="74"/>
    </row>
    <row r="37" spans="1:15" s="44" customFormat="1" ht="31.5" x14ac:dyDescent="0.25">
      <c r="A37" s="76" t="s">
        <v>837</v>
      </c>
      <c r="B37" s="69" t="s">
        <v>838</v>
      </c>
      <c r="C37" s="69"/>
      <c r="D37" s="69"/>
      <c r="E37" s="69"/>
      <c r="F37" s="70"/>
      <c r="G37" s="75"/>
      <c r="H37" s="77"/>
      <c r="I37" s="73"/>
      <c r="J37" s="73"/>
      <c r="K37" s="78">
        <v>1768894000</v>
      </c>
      <c r="L37" s="79"/>
    </row>
    <row r="38" spans="1:15" s="46" customFormat="1" x14ac:dyDescent="0.25">
      <c r="A38" s="67"/>
      <c r="B38" s="67" t="s">
        <v>842</v>
      </c>
      <c r="C38" s="80"/>
      <c r="D38" s="67"/>
      <c r="E38" s="67"/>
      <c r="F38" s="80"/>
      <c r="G38" s="67"/>
      <c r="H38" s="81"/>
      <c r="I38" s="82"/>
      <c r="J38" s="82"/>
      <c r="K38" s="79">
        <f>SUM(K35:K37)</f>
        <v>1780178260</v>
      </c>
      <c r="L38" s="83"/>
      <c r="N38" s="45"/>
      <c r="O38" s="42"/>
    </row>
    <row r="39" spans="1:15" s="4" customFormat="1" x14ac:dyDescent="0.25">
      <c r="A39" s="51" t="s">
        <v>845</v>
      </c>
      <c r="B39" s="52"/>
      <c r="C39" s="52"/>
      <c r="D39" s="52"/>
      <c r="E39" s="52"/>
      <c r="F39" s="52"/>
      <c r="G39" s="52"/>
      <c r="H39" s="52"/>
      <c r="I39" s="52"/>
      <c r="J39" s="53"/>
      <c r="K39" s="49"/>
      <c r="L39" s="49"/>
      <c r="N39" s="3"/>
      <c r="O39" s="2"/>
    </row>
    <row r="40" spans="1:15" s="6" customFormat="1" ht="18.75" customHeight="1" x14ac:dyDescent="0.25">
      <c r="A40" s="13">
        <v>1</v>
      </c>
      <c r="B40" s="14" t="s">
        <v>66</v>
      </c>
      <c r="C40" s="13">
        <v>51</v>
      </c>
      <c r="D40" s="13">
        <v>2</v>
      </c>
      <c r="E40" s="13"/>
      <c r="F40" s="13"/>
      <c r="G40" s="13"/>
      <c r="H40" s="15"/>
      <c r="I40" s="16"/>
      <c r="J40" s="39"/>
      <c r="K40" s="16">
        <f>SUM(K41:K44)</f>
        <v>8400750</v>
      </c>
      <c r="L40" s="84"/>
      <c r="N40" s="7"/>
      <c r="O40" s="7"/>
    </row>
    <row r="41" spans="1:15" s="139" customFormat="1" x14ac:dyDescent="0.25">
      <c r="A41" s="133"/>
      <c r="B41" s="134" t="s">
        <v>9</v>
      </c>
      <c r="C41" s="133"/>
      <c r="D41" s="133"/>
      <c r="E41" s="133" t="s">
        <v>10</v>
      </c>
      <c r="F41" s="133"/>
      <c r="G41" s="133"/>
      <c r="H41" s="135">
        <v>2</v>
      </c>
      <c r="I41" s="136">
        <v>3000000</v>
      </c>
      <c r="J41" s="137">
        <v>1</v>
      </c>
      <c r="K41" s="136">
        <f>H41*I41</f>
        <v>6000000</v>
      </c>
      <c r="L41" s="138"/>
      <c r="M41" s="6"/>
      <c r="N41" s="8">
        <f>+I41</f>
        <v>3000000</v>
      </c>
      <c r="O41" s="7"/>
    </row>
    <row r="42" spans="1:15" s="6" customFormat="1" x14ac:dyDescent="0.25">
      <c r="A42" s="9"/>
      <c r="B42" s="20" t="s">
        <v>67</v>
      </c>
      <c r="C42" s="9"/>
      <c r="D42" s="9"/>
      <c r="E42" s="9" t="s">
        <v>10</v>
      </c>
      <c r="F42" s="9"/>
      <c r="G42" s="9" t="s">
        <v>68</v>
      </c>
      <c r="H42" s="11">
        <f>3*1.85</f>
        <v>5.5500000000000007</v>
      </c>
      <c r="I42" s="18">
        <v>425000</v>
      </c>
      <c r="J42" s="85">
        <v>1</v>
      </c>
      <c r="K42" s="18">
        <f>H42*I42</f>
        <v>2358750.0000000005</v>
      </c>
      <c r="L42" s="84"/>
      <c r="N42" s="8">
        <f>+I42</f>
        <v>425000</v>
      </c>
      <c r="O42" s="7"/>
    </row>
    <row r="43" spans="1:15" s="167" customFormat="1" x14ac:dyDescent="0.25">
      <c r="A43" s="161"/>
      <c r="B43" s="162" t="s">
        <v>41</v>
      </c>
      <c r="C43" s="161"/>
      <c r="D43" s="161"/>
      <c r="E43" s="161" t="s">
        <v>10</v>
      </c>
      <c r="F43" s="161"/>
      <c r="G43" s="161" t="s">
        <v>32</v>
      </c>
      <c r="H43" s="163">
        <v>2</v>
      </c>
      <c r="I43" s="164">
        <v>13000</v>
      </c>
      <c r="J43" s="165">
        <v>1</v>
      </c>
      <c r="K43" s="164">
        <f t="shared" ref="K43:K44" si="1">H43*I43</f>
        <v>26000</v>
      </c>
      <c r="L43" s="166"/>
      <c r="N43" s="168">
        <f>+I43</f>
        <v>13000</v>
      </c>
      <c r="O43" s="169"/>
    </row>
    <row r="44" spans="1:15" s="167" customFormat="1" x14ac:dyDescent="0.25">
      <c r="A44" s="161"/>
      <c r="B44" s="162" t="s">
        <v>69</v>
      </c>
      <c r="C44" s="161"/>
      <c r="D44" s="161"/>
      <c r="E44" s="161" t="s">
        <v>10</v>
      </c>
      <c r="F44" s="161" t="s">
        <v>19</v>
      </c>
      <c r="G44" s="161" t="s">
        <v>28</v>
      </c>
      <c r="H44" s="163">
        <v>1</v>
      </c>
      <c r="I44" s="164">
        <v>16000</v>
      </c>
      <c r="J44" s="165">
        <v>1</v>
      </c>
      <c r="K44" s="164">
        <f t="shared" si="1"/>
        <v>16000</v>
      </c>
      <c r="L44" s="166"/>
      <c r="N44" s="168">
        <f>+I44</f>
        <v>16000</v>
      </c>
      <c r="O44" s="169"/>
    </row>
    <row r="45" spans="1:15" s="6" customFormat="1" x14ac:dyDescent="0.25">
      <c r="A45" s="13">
        <v>2</v>
      </c>
      <c r="B45" s="86" t="s">
        <v>70</v>
      </c>
      <c r="C45" s="13">
        <v>157</v>
      </c>
      <c r="D45" s="13">
        <v>2</v>
      </c>
      <c r="E45" s="13"/>
      <c r="F45" s="13"/>
      <c r="G45" s="13"/>
      <c r="H45" s="15"/>
      <c r="I45" s="16"/>
      <c r="J45" s="39"/>
      <c r="K45" s="16">
        <f>SUM(K46:K68)</f>
        <v>464399020</v>
      </c>
      <c r="L45" s="84"/>
      <c r="N45" s="7"/>
      <c r="O45" s="7"/>
    </row>
    <row r="46" spans="1:15" s="139" customFormat="1" x14ac:dyDescent="0.25">
      <c r="A46" s="133"/>
      <c r="B46" s="140" t="s">
        <v>9</v>
      </c>
      <c r="C46" s="133"/>
      <c r="D46" s="133"/>
      <c r="E46" s="133" t="s">
        <v>10</v>
      </c>
      <c r="F46" s="133"/>
      <c r="G46" s="133"/>
      <c r="H46" s="135">
        <v>45.3</v>
      </c>
      <c r="I46" s="136">
        <v>3000000</v>
      </c>
      <c r="J46" s="137">
        <v>1</v>
      </c>
      <c r="K46" s="136">
        <f>H46*I46</f>
        <v>135900000</v>
      </c>
      <c r="L46" s="138"/>
      <c r="M46" s="6"/>
      <c r="N46" s="8">
        <f>+I46</f>
        <v>3000000</v>
      </c>
      <c r="O46" s="7"/>
    </row>
    <row r="47" spans="1:15" s="6" customFormat="1" x14ac:dyDescent="0.25">
      <c r="A47" s="9"/>
      <c r="B47" s="20" t="s">
        <v>51</v>
      </c>
      <c r="C47" s="9"/>
      <c r="D47" s="9"/>
      <c r="E47" s="9" t="s">
        <v>15</v>
      </c>
      <c r="F47" s="9" t="s">
        <v>43</v>
      </c>
      <c r="G47" s="9" t="s">
        <v>57</v>
      </c>
      <c r="H47" s="11">
        <f>0.2*0.2*3*2</f>
        <v>0.24000000000000005</v>
      </c>
      <c r="I47" s="18">
        <v>4282000</v>
      </c>
      <c r="J47" s="85">
        <v>1</v>
      </c>
      <c r="K47" s="18">
        <f t="shared" ref="K47:K48" si="2">H47*I47</f>
        <v>1027680.0000000002</v>
      </c>
      <c r="L47" s="84"/>
      <c r="N47" s="8">
        <f>+I47</f>
        <v>4282000</v>
      </c>
      <c r="O47" s="7" t="s">
        <v>804</v>
      </c>
    </row>
    <row r="48" spans="1:15" s="6" customFormat="1" x14ac:dyDescent="0.25">
      <c r="A48" s="9"/>
      <c r="B48" s="20" t="s">
        <v>71</v>
      </c>
      <c r="C48" s="9"/>
      <c r="D48" s="9"/>
      <c r="E48" s="9" t="s">
        <v>15</v>
      </c>
      <c r="F48" s="9"/>
      <c r="G48" s="9" t="s">
        <v>58</v>
      </c>
      <c r="H48" s="11">
        <f>0.4*0.4*3*2-0.2*0.2*3*2</f>
        <v>0.7200000000000002</v>
      </c>
      <c r="I48" s="18">
        <v>1145000</v>
      </c>
      <c r="J48" s="85">
        <v>1</v>
      </c>
      <c r="K48" s="18">
        <f t="shared" si="2"/>
        <v>824400.00000000023</v>
      </c>
      <c r="L48" s="84"/>
      <c r="N48" s="8">
        <f t="shared" ref="N48:N59" si="3">+I48</f>
        <v>1145000</v>
      </c>
      <c r="O48" s="7"/>
    </row>
    <row r="49" spans="1:15" s="6" customFormat="1" x14ac:dyDescent="0.25">
      <c r="A49" s="9"/>
      <c r="B49" s="20" t="s">
        <v>38</v>
      </c>
      <c r="C49" s="9"/>
      <c r="D49" s="9"/>
      <c r="E49" s="9" t="s">
        <v>10</v>
      </c>
      <c r="F49" s="9"/>
      <c r="G49" s="9" t="s">
        <v>72</v>
      </c>
      <c r="H49" s="11">
        <f>2.1*2.2</f>
        <v>4.620000000000001</v>
      </c>
      <c r="I49" s="18">
        <v>459000</v>
      </c>
      <c r="J49" s="85">
        <v>1</v>
      </c>
      <c r="K49" s="18">
        <f>H49*I49</f>
        <v>2120580.0000000005</v>
      </c>
      <c r="L49" s="84"/>
      <c r="N49" s="8">
        <f t="shared" si="3"/>
        <v>459000</v>
      </c>
      <c r="O49" s="7"/>
    </row>
    <row r="50" spans="1:15" s="6" customFormat="1" x14ac:dyDescent="0.25">
      <c r="A50" s="9"/>
      <c r="B50" s="20" t="s">
        <v>89</v>
      </c>
      <c r="C50" s="9"/>
      <c r="D50" s="9"/>
      <c r="E50" s="9" t="s">
        <v>15</v>
      </c>
      <c r="F50" s="9" t="s">
        <v>50</v>
      </c>
      <c r="G50" s="9" t="s">
        <v>73</v>
      </c>
      <c r="H50" s="11">
        <f>3.5*6.2*0.2</f>
        <v>4.34</v>
      </c>
      <c r="I50" s="18">
        <v>763000</v>
      </c>
      <c r="J50" s="85">
        <v>1</v>
      </c>
      <c r="K50" s="18">
        <f>H50*I50</f>
        <v>3311420</v>
      </c>
      <c r="L50" s="84"/>
      <c r="N50" s="8">
        <f t="shared" si="3"/>
        <v>763000</v>
      </c>
      <c r="O50" s="7" t="s">
        <v>804</v>
      </c>
    </row>
    <row r="51" spans="1:15" s="6" customFormat="1" x14ac:dyDescent="0.25">
      <c r="A51" s="9"/>
      <c r="B51" s="20" t="s">
        <v>74</v>
      </c>
      <c r="C51" s="9"/>
      <c r="D51" s="9"/>
      <c r="E51" s="9" t="s">
        <v>10</v>
      </c>
      <c r="F51" s="9"/>
      <c r="G51" s="9" t="s">
        <v>75</v>
      </c>
      <c r="H51" s="11">
        <f>2.2*2.9+2.6*3.5</f>
        <v>15.48</v>
      </c>
      <c r="I51" s="18">
        <v>425000</v>
      </c>
      <c r="J51" s="85">
        <v>1</v>
      </c>
      <c r="K51" s="18">
        <f>H51*I51</f>
        <v>6579000</v>
      </c>
      <c r="L51" s="84"/>
      <c r="N51" s="8">
        <f t="shared" si="3"/>
        <v>425000</v>
      </c>
      <c r="O51" s="7"/>
    </row>
    <row r="52" spans="1:15" s="6" customFormat="1" ht="31.5" x14ac:dyDescent="0.25">
      <c r="A52" s="9"/>
      <c r="B52" s="20" t="s">
        <v>76</v>
      </c>
      <c r="C52" s="9"/>
      <c r="D52" s="9"/>
      <c r="E52" s="9" t="s">
        <v>10</v>
      </c>
      <c r="F52" s="9"/>
      <c r="G52" s="9" t="s">
        <v>77</v>
      </c>
      <c r="H52" s="11">
        <f>2.6*0.4</f>
        <v>1.04</v>
      </c>
      <c r="I52" s="18">
        <v>255000</v>
      </c>
      <c r="J52" s="85">
        <v>1</v>
      </c>
      <c r="K52" s="18">
        <f>H52*I52</f>
        <v>265200</v>
      </c>
      <c r="L52" s="84"/>
      <c r="N52" s="8">
        <f t="shared" si="3"/>
        <v>255000</v>
      </c>
      <c r="O52" s="7"/>
    </row>
    <row r="53" spans="1:15" s="167" customFormat="1" x14ac:dyDescent="0.25">
      <c r="A53" s="161"/>
      <c r="B53" s="170" t="s">
        <v>37</v>
      </c>
      <c r="C53" s="161"/>
      <c r="D53" s="161"/>
      <c r="E53" s="161" t="s">
        <v>31</v>
      </c>
      <c r="F53" s="161" t="s">
        <v>27</v>
      </c>
      <c r="G53" s="161"/>
      <c r="H53" s="163">
        <v>1</v>
      </c>
      <c r="I53" s="164">
        <v>210000</v>
      </c>
      <c r="J53" s="165">
        <v>1</v>
      </c>
      <c r="K53" s="164">
        <f t="shared" ref="K53:K68" si="4">H53*I53</f>
        <v>210000</v>
      </c>
      <c r="L53" s="166"/>
      <c r="N53" s="168">
        <f t="shared" si="3"/>
        <v>210000</v>
      </c>
      <c r="O53" s="169"/>
    </row>
    <row r="54" spans="1:15" s="167" customFormat="1" x14ac:dyDescent="0.25">
      <c r="A54" s="161"/>
      <c r="B54" s="170" t="s">
        <v>78</v>
      </c>
      <c r="C54" s="161"/>
      <c r="D54" s="161"/>
      <c r="E54" s="161" t="s">
        <v>10</v>
      </c>
      <c r="F54" s="161" t="s">
        <v>19</v>
      </c>
      <c r="G54" s="161" t="s">
        <v>32</v>
      </c>
      <c r="H54" s="163">
        <v>2</v>
      </c>
      <c r="I54" s="164">
        <v>16000</v>
      </c>
      <c r="J54" s="165">
        <v>1</v>
      </c>
      <c r="K54" s="164">
        <f t="shared" si="4"/>
        <v>32000</v>
      </c>
      <c r="L54" s="166"/>
      <c r="N54" s="168">
        <f t="shared" si="3"/>
        <v>16000</v>
      </c>
      <c r="O54" s="169"/>
    </row>
    <row r="55" spans="1:15" s="167" customFormat="1" x14ac:dyDescent="0.25">
      <c r="A55" s="161"/>
      <c r="B55" s="170" t="s">
        <v>24</v>
      </c>
      <c r="C55" s="161"/>
      <c r="D55" s="161"/>
      <c r="E55" s="161" t="s">
        <v>31</v>
      </c>
      <c r="F55" s="161" t="s">
        <v>19</v>
      </c>
      <c r="G55" s="161"/>
      <c r="H55" s="163">
        <v>2</v>
      </c>
      <c r="I55" s="164">
        <v>12000</v>
      </c>
      <c r="J55" s="165">
        <v>1</v>
      </c>
      <c r="K55" s="164">
        <f t="shared" si="4"/>
        <v>24000</v>
      </c>
      <c r="L55" s="166"/>
      <c r="N55" s="168">
        <f t="shared" si="3"/>
        <v>12000</v>
      </c>
      <c r="O55" s="169"/>
    </row>
    <row r="56" spans="1:15" s="6" customFormat="1" ht="31.5" x14ac:dyDescent="0.25">
      <c r="A56" s="9"/>
      <c r="B56" s="20" t="s">
        <v>90</v>
      </c>
      <c r="C56" s="9"/>
      <c r="D56" s="9"/>
      <c r="E56" s="9" t="s">
        <v>10</v>
      </c>
      <c r="F56" s="9"/>
      <c r="G56" s="9" t="s">
        <v>79</v>
      </c>
      <c r="H56" s="11">
        <f>5.3*5.1</f>
        <v>27.029999999999998</v>
      </c>
      <c r="I56" s="18">
        <f>1313000-70000</f>
        <v>1243000</v>
      </c>
      <c r="J56" s="85">
        <v>1</v>
      </c>
      <c r="K56" s="18">
        <f t="shared" si="4"/>
        <v>33598290</v>
      </c>
      <c r="L56" s="84"/>
      <c r="N56" s="8">
        <f t="shared" si="3"/>
        <v>1243000</v>
      </c>
      <c r="O56" s="7"/>
    </row>
    <row r="57" spans="1:15" s="6" customFormat="1" x14ac:dyDescent="0.25">
      <c r="A57" s="9"/>
      <c r="B57" s="20" t="s">
        <v>65</v>
      </c>
      <c r="C57" s="9"/>
      <c r="D57" s="9"/>
      <c r="E57" s="9" t="s">
        <v>10</v>
      </c>
      <c r="F57" s="9"/>
      <c r="G57" s="9" t="s">
        <v>80</v>
      </c>
      <c r="H57" s="11">
        <f>3.1*2.3</f>
        <v>7.13</v>
      </c>
      <c r="I57" s="18">
        <v>459000</v>
      </c>
      <c r="J57" s="85">
        <v>1</v>
      </c>
      <c r="K57" s="18">
        <f t="shared" si="4"/>
        <v>3272670</v>
      </c>
      <c r="L57" s="84"/>
      <c r="N57" s="8">
        <f t="shared" si="3"/>
        <v>459000</v>
      </c>
      <c r="O57" s="7"/>
    </row>
    <row r="58" spans="1:15" s="6" customFormat="1" x14ac:dyDescent="0.25">
      <c r="A58" s="9"/>
      <c r="B58" s="20" t="s">
        <v>81</v>
      </c>
      <c r="C58" s="9"/>
      <c r="D58" s="9"/>
      <c r="E58" s="9" t="s">
        <v>10</v>
      </c>
      <c r="F58" s="9"/>
      <c r="G58" s="9" t="s">
        <v>62</v>
      </c>
      <c r="H58" s="11">
        <f>5*3.5</f>
        <v>17.5</v>
      </c>
      <c r="I58" s="18">
        <v>87000</v>
      </c>
      <c r="J58" s="85">
        <v>1</v>
      </c>
      <c r="K58" s="18">
        <f t="shared" si="4"/>
        <v>1522500</v>
      </c>
      <c r="L58" s="84"/>
      <c r="N58" s="8">
        <f t="shared" si="3"/>
        <v>87000</v>
      </c>
      <c r="O58" s="7"/>
    </row>
    <row r="59" spans="1:15" s="6" customFormat="1" x14ac:dyDescent="0.25">
      <c r="A59" s="9"/>
      <c r="B59" s="20" t="s">
        <v>802</v>
      </c>
      <c r="C59" s="9"/>
      <c r="D59" s="9"/>
      <c r="E59" s="9" t="s">
        <v>10</v>
      </c>
      <c r="F59" s="9"/>
      <c r="G59" s="9" t="s">
        <v>62</v>
      </c>
      <c r="H59" s="11">
        <f>5*3.5</f>
        <v>17.5</v>
      </c>
      <c r="I59" s="18">
        <v>181000</v>
      </c>
      <c r="J59" s="85">
        <v>1</v>
      </c>
      <c r="K59" s="18">
        <f t="shared" si="4"/>
        <v>3167500</v>
      </c>
      <c r="L59" s="84"/>
      <c r="N59" s="8">
        <f t="shared" si="3"/>
        <v>181000</v>
      </c>
      <c r="O59" s="7"/>
    </row>
    <row r="60" spans="1:15" s="6" customFormat="1" ht="63" x14ac:dyDescent="0.25">
      <c r="A60" s="9"/>
      <c r="B60" s="20" t="s">
        <v>82</v>
      </c>
      <c r="C60" s="9"/>
      <c r="D60" s="9"/>
      <c r="E60" s="9" t="s">
        <v>10</v>
      </c>
      <c r="F60" s="9"/>
      <c r="G60" s="9" t="s">
        <v>83</v>
      </c>
      <c r="H60" s="24">
        <f>3.6*5.6+10.5*6.1</f>
        <v>84.21</v>
      </c>
      <c r="I60" s="18">
        <f>2901000</f>
        <v>2901000</v>
      </c>
      <c r="J60" s="85">
        <v>1</v>
      </c>
      <c r="K60" s="18">
        <f>I60*H60</f>
        <v>244293209.99999997</v>
      </c>
      <c r="L60" s="84"/>
      <c r="N60" s="8">
        <f t="shared" ref="N60:N68" si="5">+I60</f>
        <v>2901000</v>
      </c>
      <c r="O60" s="7"/>
    </row>
    <row r="61" spans="1:15" s="6" customFormat="1" x14ac:dyDescent="0.25">
      <c r="A61" s="9"/>
      <c r="B61" s="87" t="s">
        <v>56</v>
      </c>
      <c r="C61" s="9"/>
      <c r="D61" s="9"/>
      <c r="E61" s="9" t="s">
        <v>10</v>
      </c>
      <c r="F61" s="9"/>
      <c r="G61" s="21" t="s">
        <v>84</v>
      </c>
      <c r="H61" s="88">
        <f>3.1*5</f>
        <v>15.5</v>
      </c>
      <c r="I61" s="12">
        <v>77000</v>
      </c>
      <c r="J61" s="85">
        <v>1</v>
      </c>
      <c r="K61" s="12">
        <f t="shared" ref="K61:K66" si="6">H61*I61</f>
        <v>1193500</v>
      </c>
      <c r="L61" s="84"/>
      <c r="N61" s="8">
        <f t="shared" si="5"/>
        <v>77000</v>
      </c>
      <c r="O61" s="7"/>
    </row>
    <row r="62" spans="1:15" s="6" customFormat="1" ht="31.5" x14ac:dyDescent="0.25">
      <c r="A62" s="9"/>
      <c r="B62" s="87" t="s">
        <v>60</v>
      </c>
      <c r="C62" s="9"/>
      <c r="D62" s="9"/>
      <c r="E62" s="9" t="s">
        <v>10</v>
      </c>
      <c r="F62" s="9"/>
      <c r="G62" s="21" t="s">
        <v>85</v>
      </c>
      <c r="H62" s="22">
        <f>10*5.5</f>
        <v>55</v>
      </c>
      <c r="I62" s="12">
        <v>149000</v>
      </c>
      <c r="J62" s="85">
        <v>1</v>
      </c>
      <c r="K62" s="12">
        <f t="shared" si="6"/>
        <v>8195000</v>
      </c>
      <c r="L62" s="84"/>
      <c r="N62" s="8">
        <f t="shared" si="5"/>
        <v>149000</v>
      </c>
      <c r="O62" s="7"/>
    </row>
    <row r="63" spans="1:15" s="6" customFormat="1" x14ac:dyDescent="0.25">
      <c r="A63" s="9"/>
      <c r="B63" s="87" t="s">
        <v>45</v>
      </c>
      <c r="C63" s="9"/>
      <c r="D63" s="9"/>
      <c r="E63" s="9" t="s">
        <v>10</v>
      </c>
      <c r="F63" s="9"/>
      <c r="G63" s="21" t="s">
        <v>86</v>
      </c>
      <c r="H63" s="22">
        <f>-(3.1*5+10*5.5)</f>
        <v>-70.5</v>
      </c>
      <c r="I63" s="12">
        <v>102000</v>
      </c>
      <c r="J63" s="85">
        <v>1</v>
      </c>
      <c r="K63" s="12">
        <f t="shared" si="6"/>
        <v>-7191000</v>
      </c>
      <c r="L63" s="84"/>
      <c r="N63" s="8">
        <f t="shared" si="5"/>
        <v>102000</v>
      </c>
      <c r="O63" s="7"/>
    </row>
    <row r="64" spans="1:15" s="6" customFormat="1" x14ac:dyDescent="0.25">
      <c r="A64" s="9"/>
      <c r="B64" s="10" t="s">
        <v>52</v>
      </c>
      <c r="C64" s="9"/>
      <c r="D64" s="9"/>
      <c r="E64" s="9" t="s">
        <v>10</v>
      </c>
      <c r="F64" s="9"/>
      <c r="G64" s="21" t="s">
        <v>87</v>
      </c>
      <c r="H64" s="22">
        <f>10.5*1</f>
        <v>10.5</v>
      </c>
      <c r="I64" s="12">
        <v>347000</v>
      </c>
      <c r="J64" s="85">
        <v>1</v>
      </c>
      <c r="K64" s="12">
        <f t="shared" si="6"/>
        <v>3643500</v>
      </c>
      <c r="L64" s="84"/>
      <c r="N64" s="8">
        <f t="shared" si="5"/>
        <v>347000</v>
      </c>
      <c r="O64" s="7"/>
    </row>
    <row r="65" spans="1:15" s="191" customFormat="1" x14ac:dyDescent="0.25">
      <c r="A65" s="185"/>
      <c r="B65" s="186" t="s">
        <v>803</v>
      </c>
      <c r="C65" s="185"/>
      <c r="D65" s="185"/>
      <c r="E65" s="185" t="s">
        <v>47</v>
      </c>
      <c r="F65" s="185"/>
      <c r="G65" s="185"/>
      <c r="H65" s="187">
        <v>6</v>
      </c>
      <c r="I65" s="188">
        <v>2000000</v>
      </c>
      <c r="J65" s="189">
        <v>1</v>
      </c>
      <c r="K65" s="188">
        <f t="shared" si="6"/>
        <v>12000000</v>
      </c>
      <c r="L65" s="190"/>
      <c r="N65" s="192">
        <f t="shared" si="5"/>
        <v>2000000</v>
      </c>
      <c r="O65" s="193"/>
    </row>
    <row r="66" spans="1:15" s="191" customFormat="1" x14ac:dyDescent="0.25">
      <c r="A66" s="185"/>
      <c r="B66" s="186" t="s">
        <v>48</v>
      </c>
      <c r="C66" s="194"/>
      <c r="D66" s="185"/>
      <c r="E66" s="185" t="s">
        <v>49</v>
      </c>
      <c r="F66" s="185"/>
      <c r="G66" s="185"/>
      <c r="H66" s="187">
        <v>1</v>
      </c>
      <c r="I66" s="188">
        <v>5000000</v>
      </c>
      <c r="J66" s="189">
        <v>1</v>
      </c>
      <c r="K66" s="188">
        <f t="shared" si="6"/>
        <v>5000000</v>
      </c>
      <c r="L66" s="190"/>
      <c r="N66" s="192">
        <f t="shared" si="5"/>
        <v>5000000</v>
      </c>
      <c r="O66" s="193"/>
    </row>
    <row r="67" spans="1:15" s="6" customFormat="1" x14ac:dyDescent="0.25">
      <c r="A67" s="9"/>
      <c r="B67" s="20" t="s">
        <v>38</v>
      </c>
      <c r="C67" s="9"/>
      <c r="D67" s="9"/>
      <c r="E67" s="9" t="s">
        <v>10</v>
      </c>
      <c r="F67" s="9"/>
      <c r="G67" s="9" t="s">
        <v>88</v>
      </c>
      <c r="H67" s="11">
        <f>1.7*1.9</f>
        <v>3.23</v>
      </c>
      <c r="I67" s="18">
        <v>459000</v>
      </c>
      <c r="J67" s="85">
        <v>1</v>
      </c>
      <c r="K67" s="18">
        <f t="shared" si="4"/>
        <v>1482570</v>
      </c>
      <c r="L67" s="84"/>
      <c r="N67" s="8">
        <f t="shared" si="5"/>
        <v>459000</v>
      </c>
      <c r="O67" s="7"/>
    </row>
    <row r="68" spans="1:15" s="6" customFormat="1" x14ac:dyDescent="0.25">
      <c r="A68" s="9"/>
      <c r="B68" s="17" t="s">
        <v>54</v>
      </c>
      <c r="C68" s="9"/>
      <c r="D68" s="9"/>
      <c r="E68" s="9" t="s">
        <v>10</v>
      </c>
      <c r="F68" s="9"/>
      <c r="G68" s="9" t="s">
        <v>91</v>
      </c>
      <c r="H68" s="24">
        <f>4.2*2.2</f>
        <v>9.240000000000002</v>
      </c>
      <c r="I68" s="12">
        <v>425000</v>
      </c>
      <c r="J68" s="85">
        <v>1</v>
      </c>
      <c r="K68" s="12">
        <f t="shared" si="4"/>
        <v>3927000.0000000009</v>
      </c>
      <c r="L68" s="84"/>
      <c r="N68" s="8">
        <f t="shared" si="5"/>
        <v>425000</v>
      </c>
      <c r="O68" s="7"/>
    </row>
    <row r="69" spans="1:15" s="6" customFormat="1" x14ac:dyDescent="0.25">
      <c r="A69" s="13">
        <v>3</v>
      </c>
      <c r="B69" s="14" t="s">
        <v>92</v>
      </c>
      <c r="C69" s="13">
        <v>50</v>
      </c>
      <c r="D69" s="13">
        <v>2</v>
      </c>
      <c r="E69" s="13"/>
      <c r="F69" s="13"/>
      <c r="G69" s="13"/>
      <c r="H69" s="15"/>
      <c r="I69" s="16"/>
      <c r="J69" s="39"/>
      <c r="K69" s="89">
        <f>SUM(K70:K75)</f>
        <v>403354210</v>
      </c>
      <c r="L69" s="84"/>
      <c r="N69" s="7"/>
      <c r="O69" s="7"/>
    </row>
    <row r="70" spans="1:15" s="139" customFormat="1" x14ac:dyDescent="0.25">
      <c r="A70" s="133"/>
      <c r="B70" s="134" t="s">
        <v>9</v>
      </c>
      <c r="C70" s="133"/>
      <c r="D70" s="133"/>
      <c r="E70" s="133" t="s">
        <v>10</v>
      </c>
      <c r="F70" s="133"/>
      <c r="G70" s="133"/>
      <c r="H70" s="135">
        <v>67.400000000000006</v>
      </c>
      <c r="I70" s="136">
        <v>5040000</v>
      </c>
      <c r="J70" s="137">
        <v>1</v>
      </c>
      <c r="K70" s="141">
        <f>H70*I70</f>
        <v>339696000</v>
      </c>
      <c r="L70" s="138"/>
      <c r="M70" s="6"/>
      <c r="N70" s="8">
        <f t="shared" ref="N70:N75" si="7">+I70</f>
        <v>5040000</v>
      </c>
      <c r="O70" s="7"/>
    </row>
    <row r="71" spans="1:15" s="6" customFormat="1" x14ac:dyDescent="0.25">
      <c r="A71" s="9"/>
      <c r="B71" s="17" t="s">
        <v>42</v>
      </c>
      <c r="C71" s="9"/>
      <c r="D71" s="9"/>
      <c r="E71" s="9" t="s">
        <v>10</v>
      </c>
      <c r="F71" s="9"/>
      <c r="G71" s="9" t="s">
        <v>93</v>
      </c>
      <c r="H71" s="24">
        <f>(19.3*3.1)+(2*3.1)</f>
        <v>66.03</v>
      </c>
      <c r="I71" s="18">
        <v>227000</v>
      </c>
      <c r="J71" s="85">
        <v>1</v>
      </c>
      <c r="K71" s="12">
        <f t="shared" ref="K71:K75" si="8">H71*I71</f>
        <v>14988810</v>
      </c>
      <c r="L71" s="84"/>
      <c r="N71" s="8">
        <f t="shared" si="7"/>
        <v>227000</v>
      </c>
      <c r="O71" s="7"/>
    </row>
    <row r="72" spans="1:15" s="6" customFormat="1" x14ac:dyDescent="0.25">
      <c r="A72" s="9"/>
      <c r="B72" s="17" t="s">
        <v>42</v>
      </c>
      <c r="C72" s="9"/>
      <c r="D72" s="9"/>
      <c r="E72" s="9" t="s">
        <v>10</v>
      </c>
      <c r="F72" s="9"/>
      <c r="G72" s="84" t="s">
        <v>94</v>
      </c>
      <c r="H72" s="90">
        <f>(6.7+3.4)*2</f>
        <v>20.2</v>
      </c>
      <c r="I72" s="18">
        <v>227000</v>
      </c>
      <c r="J72" s="85">
        <v>1</v>
      </c>
      <c r="K72" s="12">
        <f t="shared" si="8"/>
        <v>4585400</v>
      </c>
      <c r="L72" s="84"/>
      <c r="N72" s="8">
        <f t="shared" si="7"/>
        <v>227000</v>
      </c>
      <c r="O72" s="7"/>
    </row>
    <row r="73" spans="1:15" s="167" customFormat="1" x14ac:dyDescent="0.25">
      <c r="A73" s="161"/>
      <c r="B73" s="162" t="s">
        <v>33</v>
      </c>
      <c r="C73" s="161"/>
      <c r="D73" s="161"/>
      <c r="E73" s="161" t="s">
        <v>31</v>
      </c>
      <c r="F73" s="161" t="s">
        <v>35</v>
      </c>
      <c r="G73" s="161"/>
      <c r="H73" s="163">
        <v>4</v>
      </c>
      <c r="I73" s="164">
        <v>373000</v>
      </c>
      <c r="J73" s="165">
        <v>1</v>
      </c>
      <c r="K73" s="171">
        <f t="shared" si="8"/>
        <v>1492000</v>
      </c>
      <c r="L73" s="166"/>
      <c r="N73" s="168">
        <f t="shared" si="7"/>
        <v>373000</v>
      </c>
      <c r="O73" s="169"/>
    </row>
    <row r="74" spans="1:15" s="167" customFormat="1" x14ac:dyDescent="0.25">
      <c r="A74" s="161"/>
      <c r="B74" s="162" t="s">
        <v>34</v>
      </c>
      <c r="C74" s="161"/>
      <c r="D74" s="161"/>
      <c r="E74" s="161" t="s">
        <v>31</v>
      </c>
      <c r="F74" s="161" t="s">
        <v>95</v>
      </c>
      <c r="G74" s="161"/>
      <c r="H74" s="163">
        <v>2</v>
      </c>
      <c r="I74" s="164">
        <v>165000</v>
      </c>
      <c r="J74" s="165">
        <v>1</v>
      </c>
      <c r="K74" s="171">
        <f t="shared" si="8"/>
        <v>330000</v>
      </c>
      <c r="L74" s="166"/>
      <c r="N74" s="168">
        <f t="shared" si="7"/>
        <v>165000</v>
      </c>
      <c r="O74" s="169"/>
    </row>
    <row r="75" spans="1:15" s="6" customFormat="1" ht="31.5" x14ac:dyDescent="0.25">
      <c r="A75" s="9"/>
      <c r="B75" s="20" t="s">
        <v>96</v>
      </c>
      <c r="C75" s="9"/>
      <c r="D75" s="9"/>
      <c r="E75" s="9" t="s">
        <v>10</v>
      </c>
      <c r="F75" s="9"/>
      <c r="G75" s="9" t="s">
        <v>97</v>
      </c>
      <c r="H75" s="11">
        <f>4*8.5</f>
        <v>34</v>
      </c>
      <c r="I75" s="18">
        <f>1313000-70000</f>
        <v>1243000</v>
      </c>
      <c r="J75" s="85">
        <v>1</v>
      </c>
      <c r="K75" s="12">
        <f t="shared" si="8"/>
        <v>42262000</v>
      </c>
      <c r="L75" s="84"/>
      <c r="N75" s="8">
        <f t="shared" si="7"/>
        <v>1243000</v>
      </c>
      <c r="O75" s="7"/>
    </row>
    <row r="76" spans="1:15" s="6" customFormat="1" x14ac:dyDescent="0.25">
      <c r="A76" s="13">
        <v>4</v>
      </c>
      <c r="B76" s="14" t="s">
        <v>98</v>
      </c>
      <c r="C76" s="13">
        <v>72</v>
      </c>
      <c r="D76" s="13">
        <v>2</v>
      </c>
      <c r="E76" s="13"/>
      <c r="F76" s="13"/>
      <c r="G76" s="13"/>
      <c r="H76" s="15"/>
      <c r="I76" s="16"/>
      <c r="J76" s="39"/>
      <c r="K76" s="16">
        <f>SUM(K77:K84)</f>
        <v>127996764</v>
      </c>
      <c r="L76" s="84"/>
      <c r="N76" s="7"/>
      <c r="O76" s="7"/>
    </row>
    <row r="77" spans="1:15" s="139" customFormat="1" x14ac:dyDescent="0.25">
      <c r="A77" s="133"/>
      <c r="B77" s="134" t="s">
        <v>9</v>
      </c>
      <c r="C77" s="133"/>
      <c r="D77" s="133"/>
      <c r="E77" s="133" t="s">
        <v>10</v>
      </c>
      <c r="F77" s="133"/>
      <c r="G77" s="133"/>
      <c r="H77" s="135">
        <v>18.899999999999999</v>
      </c>
      <c r="I77" s="136">
        <v>3000000</v>
      </c>
      <c r="J77" s="137">
        <v>1</v>
      </c>
      <c r="K77" s="136">
        <f>H77*I77</f>
        <v>56699999.999999993</v>
      </c>
      <c r="L77" s="138"/>
      <c r="M77" s="6"/>
      <c r="N77" s="8">
        <f t="shared" ref="N77:N84" si="9">+I77</f>
        <v>3000000</v>
      </c>
      <c r="O77" s="7"/>
    </row>
    <row r="78" spans="1:15" s="6" customFormat="1" ht="63" x14ac:dyDescent="0.25">
      <c r="A78" s="9"/>
      <c r="B78" s="20" t="s">
        <v>99</v>
      </c>
      <c r="C78" s="9"/>
      <c r="D78" s="9"/>
      <c r="E78" s="9" t="s">
        <v>10</v>
      </c>
      <c r="F78" s="9"/>
      <c r="G78" s="9" t="s">
        <v>100</v>
      </c>
      <c r="H78" s="11">
        <f>4.4*8.1</f>
        <v>35.64</v>
      </c>
      <c r="I78" s="18">
        <f>(2510000-38000)*80%</f>
        <v>1977600</v>
      </c>
      <c r="J78" s="85">
        <v>1</v>
      </c>
      <c r="K78" s="18">
        <f>H78*I78</f>
        <v>70481664</v>
      </c>
      <c r="L78" s="84"/>
      <c r="N78" s="8">
        <f t="shared" si="9"/>
        <v>1977600</v>
      </c>
      <c r="O78" s="7"/>
    </row>
    <row r="79" spans="1:15" s="6" customFormat="1" ht="31.5" x14ac:dyDescent="0.25">
      <c r="A79" s="9"/>
      <c r="B79" s="87" t="s">
        <v>101</v>
      </c>
      <c r="C79" s="9"/>
      <c r="D79" s="9"/>
      <c r="E79" s="9" t="s">
        <v>10</v>
      </c>
      <c r="F79" s="9"/>
      <c r="G79" s="21" t="s">
        <v>102</v>
      </c>
      <c r="H79" s="88">
        <f>4.2*2.7</f>
        <v>11.340000000000002</v>
      </c>
      <c r="I79" s="12">
        <v>149000</v>
      </c>
      <c r="J79" s="85">
        <v>1</v>
      </c>
      <c r="K79" s="12">
        <f t="shared" ref="K79:K84" si="10">H79*I79</f>
        <v>1689660.0000000002</v>
      </c>
      <c r="L79" s="84"/>
      <c r="N79" s="8">
        <f t="shared" si="9"/>
        <v>149000</v>
      </c>
      <c r="O79" s="7"/>
    </row>
    <row r="80" spans="1:15" s="6" customFormat="1" x14ac:dyDescent="0.25">
      <c r="A80" s="9"/>
      <c r="B80" s="87" t="s">
        <v>103</v>
      </c>
      <c r="C80" s="9"/>
      <c r="D80" s="9"/>
      <c r="E80" s="9" t="s">
        <v>10</v>
      </c>
      <c r="F80" s="9"/>
      <c r="G80" s="21" t="s">
        <v>104</v>
      </c>
      <c r="H80" s="88">
        <f>4.2*5.2</f>
        <v>21.840000000000003</v>
      </c>
      <c r="I80" s="12">
        <v>77000</v>
      </c>
      <c r="J80" s="85">
        <v>1</v>
      </c>
      <c r="K80" s="12">
        <f t="shared" si="10"/>
        <v>1681680.0000000002</v>
      </c>
      <c r="L80" s="84"/>
      <c r="N80" s="8">
        <f t="shared" si="9"/>
        <v>77000</v>
      </c>
      <c r="O80" s="7"/>
    </row>
    <row r="81" spans="1:15" s="6" customFormat="1" x14ac:dyDescent="0.25">
      <c r="A81" s="9"/>
      <c r="B81" s="87" t="s">
        <v>45</v>
      </c>
      <c r="C81" s="9"/>
      <c r="D81" s="9"/>
      <c r="E81" s="9" t="s">
        <v>10</v>
      </c>
      <c r="F81" s="9"/>
      <c r="G81" s="21" t="s">
        <v>105</v>
      </c>
      <c r="H81" s="88">
        <f>-4.2*7.9</f>
        <v>-33.18</v>
      </c>
      <c r="I81" s="12">
        <v>102000</v>
      </c>
      <c r="J81" s="85">
        <v>1</v>
      </c>
      <c r="K81" s="12">
        <f t="shared" si="10"/>
        <v>-3384360</v>
      </c>
      <c r="L81" s="84"/>
      <c r="N81" s="8">
        <f t="shared" si="9"/>
        <v>102000</v>
      </c>
      <c r="O81" s="7"/>
    </row>
    <row r="82" spans="1:15" s="6" customFormat="1" ht="31.5" x14ac:dyDescent="0.25">
      <c r="A82" s="9"/>
      <c r="B82" s="87" t="s">
        <v>106</v>
      </c>
      <c r="C82" s="9"/>
      <c r="D82" s="9"/>
      <c r="E82" s="9" t="s">
        <v>10</v>
      </c>
      <c r="F82" s="9"/>
      <c r="G82" s="21" t="s">
        <v>107</v>
      </c>
      <c r="H82" s="88">
        <f>-4*3.6</f>
        <v>-14.4</v>
      </c>
      <c r="I82" s="12">
        <v>255000</v>
      </c>
      <c r="J82" s="85">
        <v>1</v>
      </c>
      <c r="K82" s="12">
        <f t="shared" si="10"/>
        <v>-3672000</v>
      </c>
      <c r="L82" s="84"/>
      <c r="N82" s="8">
        <f t="shared" si="9"/>
        <v>255000</v>
      </c>
      <c r="O82" s="7"/>
    </row>
    <row r="83" spans="1:15" s="6" customFormat="1" ht="31.5" x14ac:dyDescent="0.25">
      <c r="A83" s="9"/>
      <c r="B83" s="20" t="s">
        <v>63</v>
      </c>
      <c r="C83" s="9"/>
      <c r="D83" s="9"/>
      <c r="E83" s="9" t="s">
        <v>14</v>
      </c>
      <c r="F83" s="9"/>
      <c r="G83" s="9"/>
      <c r="H83" s="11">
        <v>15</v>
      </c>
      <c r="I83" s="18">
        <v>6000</v>
      </c>
      <c r="J83" s="85">
        <v>1</v>
      </c>
      <c r="K83" s="18">
        <f t="shared" si="10"/>
        <v>90000</v>
      </c>
      <c r="L83" s="84"/>
      <c r="N83" s="8">
        <f t="shared" si="9"/>
        <v>6000</v>
      </c>
      <c r="O83" s="7" t="s">
        <v>804</v>
      </c>
    </row>
    <row r="84" spans="1:15" s="6" customFormat="1" x14ac:dyDescent="0.25">
      <c r="A84" s="9"/>
      <c r="B84" s="20" t="s">
        <v>108</v>
      </c>
      <c r="C84" s="9"/>
      <c r="D84" s="9"/>
      <c r="E84" s="9" t="s">
        <v>15</v>
      </c>
      <c r="F84" s="9" t="s">
        <v>43</v>
      </c>
      <c r="G84" s="9" t="s">
        <v>109</v>
      </c>
      <c r="H84" s="11">
        <f>4.4*2*0.15</f>
        <v>1.32</v>
      </c>
      <c r="I84" s="18">
        <v>3341000</v>
      </c>
      <c r="J84" s="85">
        <v>1</v>
      </c>
      <c r="K84" s="18">
        <f t="shared" si="10"/>
        <v>4410120</v>
      </c>
      <c r="L84" s="84"/>
      <c r="N84" s="8">
        <f t="shared" si="9"/>
        <v>3341000</v>
      </c>
      <c r="O84" s="7" t="s">
        <v>804</v>
      </c>
    </row>
    <row r="85" spans="1:15" s="6" customFormat="1" x14ac:dyDescent="0.25">
      <c r="A85" s="13">
        <v>5</v>
      </c>
      <c r="B85" s="14" t="s">
        <v>110</v>
      </c>
      <c r="C85" s="13">
        <v>52</v>
      </c>
      <c r="D85" s="13">
        <v>2</v>
      </c>
      <c r="E85" s="13"/>
      <c r="F85" s="13"/>
      <c r="G85" s="13"/>
      <c r="H85" s="15"/>
      <c r="I85" s="16"/>
      <c r="J85" s="39"/>
      <c r="K85" s="89">
        <f>SUM(K86:K87)</f>
        <v>103500000</v>
      </c>
      <c r="L85" s="84"/>
      <c r="N85" s="7"/>
      <c r="O85" s="7"/>
    </row>
    <row r="86" spans="1:15" s="139" customFormat="1" x14ac:dyDescent="0.25">
      <c r="A86" s="133"/>
      <c r="B86" s="134" t="s">
        <v>9</v>
      </c>
      <c r="C86" s="133"/>
      <c r="D86" s="133"/>
      <c r="E86" s="133" t="s">
        <v>10</v>
      </c>
      <c r="F86" s="133"/>
      <c r="G86" s="133"/>
      <c r="H86" s="135">
        <v>24.6</v>
      </c>
      <c r="I86" s="136">
        <v>4200000</v>
      </c>
      <c r="J86" s="137">
        <v>1</v>
      </c>
      <c r="K86" s="141">
        <f>H86*I86</f>
        <v>103320000</v>
      </c>
      <c r="L86" s="138"/>
      <c r="M86" s="6"/>
      <c r="N86" s="8">
        <f>+I86</f>
        <v>4200000</v>
      </c>
      <c r="O86" s="7"/>
    </row>
    <row r="87" spans="1:15" s="167" customFormat="1" x14ac:dyDescent="0.25">
      <c r="A87" s="161"/>
      <c r="B87" s="172" t="s">
        <v>111</v>
      </c>
      <c r="C87" s="161"/>
      <c r="D87" s="161"/>
      <c r="E87" s="161" t="s">
        <v>31</v>
      </c>
      <c r="F87" s="161" t="s">
        <v>18</v>
      </c>
      <c r="G87" s="161"/>
      <c r="H87" s="163">
        <v>1</v>
      </c>
      <c r="I87" s="171">
        <v>180000</v>
      </c>
      <c r="J87" s="165">
        <v>1</v>
      </c>
      <c r="K87" s="171">
        <f>H87*I87</f>
        <v>180000</v>
      </c>
      <c r="L87" s="166"/>
      <c r="N87" s="168">
        <f>+I87</f>
        <v>180000</v>
      </c>
      <c r="O87" s="169"/>
    </row>
    <row r="88" spans="1:15" s="6" customFormat="1" x14ac:dyDescent="0.25">
      <c r="A88" s="13">
        <v>6</v>
      </c>
      <c r="B88" s="14" t="s">
        <v>112</v>
      </c>
      <c r="C88" s="13">
        <v>161</v>
      </c>
      <c r="D88" s="13">
        <v>2</v>
      </c>
      <c r="E88" s="13"/>
      <c r="F88" s="13"/>
      <c r="G88" s="13"/>
      <c r="H88" s="15"/>
      <c r="I88" s="16"/>
      <c r="J88" s="39"/>
      <c r="K88" s="16">
        <f>SUM(K89:K94)</f>
        <v>70801600</v>
      </c>
      <c r="L88" s="84"/>
      <c r="N88" s="7"/>
      <c r="O88" s="7"/>
    </row>
    <row r="89" spans="1:15" s="139" customFormat="1" x14ac:dyDescent="0.25">
      <c r="A89" s="134"/>
      <c r="B89" s="134" t="s">
        <v>9</v>
      </c>
      <c r="C89" s="133"/>
      <c r="D89" s="133"/>
      <c r="E89" s="133" t="s">
        <v>10</v>
      </c>
      <c r="F89" s="133"/>
      <c r="G89" s="133"/>
      <c r="H89" s="135">
        <v>15.5</v>
      </c>
      <c r="I89" s="136">
        <v>3600000</v>
      </c>
      <c r="J89" s="137">
        <v>1</v>
      </c>
      <c r="K89" s="136">
        <f>H89*I89</f>
        <v>55800000</v>
      </c>
      <c r="L89" s="138"/>
      <c r="M89" s="6"/>
      <c r="N89" s="8">
        <f t="shared" ref="N89:N94" si="11">+I89</f>
        <v>3600000</v>
      </c>
      <c r="O89" s="7"/>
    </row>
    <row r="90" spans="1:15" s="6" customFormat="1" x14ac:dyDescent="0.25">
      <c r="A90" s="17"/>
      <c r="B90" s="17" t="s">
        <v>42</v>
      </c>
      <c r="C90" s="9"/>
      <c r="D90" s="9"/>
      <c r="E90" s="9" t="s">
        <v>10</v>
      </c>
      <c r="F90" s="9"/>
      <c r="G90" s="9" t="s">
        <v>113</v>
      </c>
      <c r="H90" s="11">
        <f>22*2.9</f>
        <v>63.8</v>
      </c>
      <c r="I90" s="18">
        <v>227000</v>
      </c>
      <c r="J90" s="85">
        <v>1</v>
      </c>
      <c r="K90" s="18">
        <f>H90*I90</f>
        <v>14482600</v>
      </c>
      <c r="L90" s="84"/>
      <c r="N90" s="8">
        <f t="shared" si="11"/>
        <v>227000</v>
      </c>
      <c r="O90" s="7"/>
    </row>
    <row r="91" spans="1:15" s="167" customFormat="1" x14ac:dyDescent="0.25">
      <c r="A91" s="162"/>
      <c r="B91" s="162" t="s">
        <v>23</v>
      </c>
      <c r="C91" s="161"/>
      <c r="D91" s="161"/>
      <c r="E91" s="161" t="s">
        <v>31</v>
      </c>
      <c r="F91" s="161" t="s">
        <v>19</v>
      </c>
      <c r="G91" s="161"/>
      <c r="H91" s="163">
        <v>3</v>
      </c>
      <c r="I91" s="164">
        <v>60000</v>
      </c>
      <c r="J91" s="165">
        <v>1</v>
      </c>
      <c r="K91" s="164">
        <f t="shared" ref="K91:K94" si="12">H91*I91</f>
        <v>180000</v>
      </c>
      <c r="L91" s="166"/>
      <c r="N91" s="168">
        <f t="shared" si="11"/>
        <v>60000</v>
      </c>
      <c r="O91" s="169"/>
    </row>
    <row r="92" spans="1:15" s="167" customFormat="1" x14ac:dyDescent="0.25">
      <c r="A92" s="162"/>
      <c r="B92" s="162" t="s">
        <v>22</v>
      </c>
      <c r="C92" s="161"/>
      <c r="D92" s="161"/>
      <c r="E92" s="161" t="s">
        <v>31</v>
      </c>
      <c r="F92" s="161"/>
      <c r="G92" s="161"/>
      <c r="H92" s="163">
        <v>29</v>
      </c>
      <c r="I92" s="164">
        <v>10000</v>
      </c>
      <c r="J92" s="165">
        <v>1</v>
      </c>
      <c r="K92" s="164">
        <f t="shared" si="12"/>
        <v>290000</v>
      </c>
      <c r="L92" s="166"/>
      <c r="N92" s="168">
        <f t="shared" si="11"/>
        <v>10000</v>
      </c>
      <c r="O92" s="169"/>
    </row>
    <row r="93" spans="1:15" s="167" customFormat="1" x14ac:dyDescent="0.25">
      <c r="A93" s="162"/>
      <c r="B93" s="162" t="s">
        <v>114</v>
      </c>
      <c r="C93" s="161"/>
      <c r="D93" s="161"/>
      <c r="E93" s="161" t="s">
        <v>115</v>
      </c>
      <c r="F93" s="161" t="s">
        <v>27</v>
      </c>
      <c r="G93" s="161"/>
      <c r="H93" s="163">
        <v>1</v>
      </c>
      <c r="I93" s="164">
        <v>36000</v>
      </c>
      <c r="J93" s="165">
        <v>1</v>
      </c>
      <c r="K93" s="164">
        <f t="shared" si="12"/>
        <v>36000</v>
      </c>
      <c r="L93" s="166"/>
      <c r="N93" s="168">
        <f t="shared" si="11"/>
        <v>36000</v>
      </c>
      <c r="O93" s="169"/>
    </row>
    <row r="94" spans="1:15" s="167" customFormat="1" x14ac:dyDescent="0.25">
      <c r="A94" s="162"/>
      <c r="B94" s="162" t="s">
        <v>55</v>
      </c>
      <c r="C94" s="161"/>
      <c r="D94" s="161"/>
      <c r="E94" s="161" t="s">
        <v>10</v>
      </c>
      <c r="F94" s="161" t="s">
        <v>19</v>
      </c>
      <c r="G94" s="161" t="s">
        <v>28</v>
      </c>
      <c r="H94" s="163">
        <v>1</v>
      </c>
      <c r="I94" s="164">
        <v>13000</v>
      </c>
      <c r="J94" s="165">
        <v>1</v>
      </c>
      <c r="K94" s="164">
        <f t="shared" si="12"/>
        <v>13000</v>
      </c>
      <c r="L94" s="166"/>
      <c r="N94" s="168">
        <f t="shared" si="11"/>
        <v>13000</v>
      </c>
      <c r="O94" s="169"/>
    </row>
    <row r="95" spans="1:15" s="6" customFormat="1" x14ac:dyDescent="0.25">
      <c r="A95" s="13">
        <v>7</v>
      </c>
      <c r="B95" s="14" t="s">
        <v>116</v>
      </c>
      <c r="C95" s="13">
        <v>27</v>
      </c>
      <c r="D95" s="13">
        <v>2</v>
      </c>
      <c r="E95" s="13"/>
      <c r="F95" s="13"/>
      <c r="G95" s="13"/>
      <c r="H95" s="15"/>
      <c r="I95" s="89"/>
      <c r="J95" s="91"/>
      <c r="K95" s="89">
        <f>SUM(K96:K144)</f>
        <v>809109873.96000004</v>
      </c>
      <c r="L95" s="84"/>
      <c r="N95" s="7"/>
      <c r="O95" s="7"/>
    </row>
    <row r="96" spans="1:15" s="139" customFormat="1" x14ac:dyDescent="0.25">
      <c r="A96" s="133"/>
      <c r="B96" s="134" t="s">
        <v>9</v>
      </c>
      <c r="C96" s="133"/>
      <c r="D96" s="133"/>
      <c r="E96" s="133" t="s">
        <v>10</v>
      </c>
      <c r="F96" s="133"/>
      <c r="G96" s="133"/>
      <c r="H96" s="135">
        <v>92.7</v>
      </c>
      <c r="I96" s="141">
        <f>3000000*1.05</f>
        <v>3150000</v>
      </c>
      <c r="J96" s="137">
        <v>1</v>
      </c>
      <c r="K96" s="141">
        <f>H96*I96</f>
        <v>292005000</v>
      </c>
      <c r="L96" s="138"/>
      <c r="M96" s="6"/>
      <c r="N96" s="19">
        <v>3000000</v>
      </c>
      <c r="O96" s="7"/>
    </row>
    <row r="97" spans="1:15" s="6" customFormat="1" ht="47.25" x14ac:dyDescent="0.25">
      <c r="A97" s="9"/>
      <c r="B97" s="20" t="s">
        <v>117</v>
      </c>
      <c r="C97" s="9"/>
      <c r="D97" s="9"/>
      <c r="E97" s="9" t="s">
        <v>10</v>
      </c>
      <c r="F97" s="9"/>
      <c r="G97" s="9" t="s">
        <v>118</v>
      </c>
      <c r="H97" s="11">
        <f>7.1*8.9</f>
        <v>63.19</v>
      </c>
      <c r="I97" s="12">
        <f>2901000+32000*6</f>
        <v>3093000</v>
      </c>
      <c r="J97" s="85">
        <v>1</v>
      </c>
      <c r="K97" s="12">
        <f t="shared" ref="K97:K117" si="13">I97*H97</f>
        <v>195446670</v>
      </c>
      <c r="L97" s="84"/>
      <c r="N97" s="8">
        <f t="shared" ref="N97:N106" si="14">+I97</f>
        <v>3093000</v>
      </c>
      <c r="O97" s="7"/>
    </row>
    <row r="98" spans="1:15" s="6" customFormat="1" ht="31.5" x14ac:dyDescent="0.25">
      <c r="A98" s="9"/>
      <c r="B98" s="87" t="s">
        <v>60</v>
      </c>
      <c r="C98" s="9"/>
      <c r="D98" s="9"/>
      <c r="E98" s="9" t="s">
        <v>10</v>
      </c>
      <c r="F98" s="9"/>
      <c r="G98" s="21" t="s">
        <v>119</v>
      </c>
      <c r="H98" s="88">
        <f>6.6*8.5</f>
        <v>56.099999999999994</v>
      </c>
      <c r="I98" s="12">
        <v>149000</v>
      </c>
      <c r="J98" s="85">
        <v>1</v>
      </c>
      <c r="K98" s="12">
        <f t="shared" ref="K98:K99" si="15">H98*I98</f>
        <v>8358899.9999999991</v>
      </c>
      <c r="L98" s="84"/>
      <c r="N98" s="8">
        <f t="shared" si="14"/>
        <v>149000</v>
      </c>
      <c r="O98" s="7"/>
    </row>
    <row r="99" spans="1:15" s="6" customFormat="1" x14ac:dyDescent="0.25">
      <c r="A99" s="9"/>
      <c r="B99" s="87" t="s">
        <v>45</v>
      </c>
      <c r="C99" s="9"/>
      <c r="D99" s="9"/>
      <c r="E99" s="9" t="s">
        <v>10</v>
      </c>
      <c r="F99" s="9"/>
      <c r="G99" s="21" t="s">
        <v>119</v>
      </c>
      <c r="H99" s="88">
        <f>-6.6*8.5</f>
        <v>-56.099999999999994</v>
      </c>
      <c r="I99" s="12">
        <v>102000</v>
      </c>
      <c r="J99" s="85">
        <v>1</v>
      </c>
      <c r="K99" s="12">
        <f t="shared" si="15"/>
        <v>-5722199.9999999991</v>
      </c>
      <c r="L99" s="84"/>
      <c r="N99" s="8">
        <f t="shared" si="14"/>
        <v>102000</v>
      </c>
      <c r="O99" s="7"/>
    </row>
    <row r="100" spans="1:15" s="6" customFormat="1" x14ac:dyDescent="0.25">
      <c r="A100" s="9"/>
      <c r="B100" s="20" t="s">
        <v>120</v>
      </c>
      <c r="C100" s="9"/>
      <c r="D100" s="9"/>
      <c r="E100" s="9" t="s">
        <v>10</v>
      </c>
      <c r="F100" s="9"/>
      <c r="G100" s="9" t="s">
        <v>121</v>
      </c>
      <c r="H100" s="11">
        <f xml:space="preserve"> 3.4*3</f>
        <v>10.199999999999999</v>
      </c>
      <c r="I100" s="12">
        <v>331000</v>
      </c>
      <c r="J100" s="85">
        <v>1</v>
      </c>
      <c r="K100" s="12">
        <f t="shared" si="13"/>
        <v>3376199.9999999995</v>
      </c>
      <c r="L100" s="84"/>
      <c r="N100" s="8">
        <f t="shared" si="14"/>
        <v>331000</v>
      </c>
      <c r="O100" s="7"/>
    </row>
    <row r="101" spans="1:15" s="6" customFormat="1" x14ac:dyDescent="0.25">
      <c r="A101" s="9"/>
      <c r="B101" s="20" t="s">
        <v>20</v>
      </c>
      <c r="C101" s="9"/>
      <c r="D101" s="9"/>
      <c r="E101" s="9" t="s">
        <v>10</v>
      </c>
      <c r="F101" s="9"/>
      <c r="G101" s="9" t="s">
        <v>122</v>
      </c>
      <c r="H101" s="11">
        <f xml:space="preserve"> 4.8*4+ 3.4*3</f>
        <v>29.4</v>
      </c>
      <c r="I101" s="12">
        <v>131000</v>
      </c>
      <c r="J101" s="85">
        <v>1</v>
      </c>
      <c r="K101" s="12">
        <f t="shared" si="13"/>
        <v>3851400</v>
      </c>
      <c r="L101" s="84"/>
      <c r="N101" s="8">
        <f t="shared" si="14"/>
        <v>131000</v>
      </c>
      <c r="O101" s="7"/>
    </row>
    <row r="102" spans="1:15" s="6" customFormat="1" ht="47.25" x14ac:dyDescent="0.25">
      <c r="A102" s="9"/>
      <c r="B102" s="20" t="s">
        <v>216</v>
      </c>
      <c r="C102" s="9"/>
      <c r="D102" s="9"/>
      <c r="E102" s="9" t="s">
        <v>10</v>
      </c>
      <c r="F102" s="9"/>
      <c r="G102" s="9" t="s">
        <v>123</v>
      </c>
      <c r="H102" s="11">
        <f>8.4*5</f>
        <v>42</v>
      </c>
      <c r="I102" s="12">
        <f>2901000-32000*6</f>
        <v>2709000</v>
      </c>
      <c r="J102" s="85">
        <v>1</v>
      </c>
      <c r="K102" s="12">
        <f t="shared" si="13"/>
        <v>113778000</v>
      </c>
      <c r="L102" s="84"/>
      <c r="N102" s="8">
        <f t="shared" si="14"/>
        <v>2709000</v>
      </c>
      <c r="O102" s="7"/>
    </row>
    <row r="103" spans="1:15" s="6" customFormat="1" x14ac:dyDescent="0.25">
      <c r="A103" s="9"/>
      <c r="B103" s="87" t="s">
        <v>56</v>
      </c>
      <c r="C103" s="9"/>
      <c r="D103" s="9"/>
      <c r="E103" s="9" t="s">
        <v>10</v>
      </c>
      <c r="F103" s="9"/>
      <c r="G103" s="21" t="s">
        <v>124</v>
      </c>
      <c r="H103" s="88">
        <f>7.9*4.5</f>
        <v>35.550000000000004</v>
      </c>
      <c r="I103" s="12">
        <v>77000</v>
      </c>
      <c r="J103" s="85">
        <v>1</v>
      </c>
      <c r="K103" s="12">
        <f t="shared" ref="K103:K104" si="16">H103*I103</f>
        <v>2737350.0000000005</v>
      </c>
      <c r="L103" s="84"/>
      <c r="N103" s="8">
        <f t="shared" si="14"/>
        <v>77000</v>
      </c>
      <c r="O103" s="7"/>
    </row>
    <row r="104" spans="1:15" s="6" customFormat="1" x14ac:dyDescent="0.25">
      <c r="A104" s="9"/>
      <c r="B104" s="87" t="s">
        <v>45</v>
      </c>
      <c r="C104" s="9"/>
      <c r="D104" s="9"/>
      <c r="E104" s="9" t="s">
        <v>10</v>
      </c>
      <c r="F104" s="9"/>
      <c r="G104" s="21" t="s">
        <v>124</v>
      </c>
      <c r="H104" s="88">
        <f>-7.9*4.5</f>
        <v>-35.550000000000004</v>
      </c>
      <c r="I104" s="12">
        <v>102000</v>
      </c>
      <c r="J104" s="85">
        <v>1</v>
      </c>
      <c r="K104" s="12">
        <f t="shared" si="16"/>
        <v>-3626100.0000000005</v>
      </c>
      <c r="L104" s="84"/>
      <c r="N104" s="8">
        <f t="shared" si="14"/>
        <v>102000</v>
      </c>
      <c r="O104" s="7"/>
    </row>
    <row r="105" spans="1:15" s="6" customFormat="1" ht="31.5" x14ac:dyDescent="0.25">
      <c r="A105" s="9"/>
      <c r="B105" s="17" t="s">
        <v>125</v>
      </c>
      <c r="C105" s="9"/>
      <c r="D105" s="9"/>
      <c r="E105" s="9" t="s">
        <v>15</v>
      </c>
      <c r="F105" s="9"/>
      <c r="G105" s="21" t="s">
        <v>126</v>
      </c>
      <c r="H105" s="88">
        <f>0.3*0.3*1.8*2-0.15*0.15*1.8*2</f>
        <v>0.24299999999999999</v>
      </c>
      <c r="I105" s="12">
        <v>1145000</v>
      </c>
      <c r="J105" s="85">
        <v>1</v>
      </c>
      <c r="K105" s="12">
        <f t="shared" si="13"/>
        <v>278235</v>
      </c>
      <c r="L105" s="84"/>
      <c r="N105" s="8">
        <f t="shared" si="14"/>
        <v>1145000</v>
      </c>
      <c r="O105" s="7"/>
    </row>
    <row r="106" spans="1:15" s="6" customFormat="1" x14ac:dyDescent="0.25">
      <c r="A106" s="9"/>
      <c r="B106" s="17" t="s">
        <v>51</v>
      </c>
      <c r="C106" s="9"/>
      <c r="D106" s="9"/>
      <c r="E106" s="9" t="s">
        <v>15</v>
      </c>
      <c r="F106" s="9" t="s">
        <v>43</v>
      </c>
      <c r="G106" s="21" t="s">
        <v>127</v>
      </c>
      <c r="H106" s="88">
        <f>0.15*0.15*1.8*2</f>
        <v>8.1000000000000003E-2</v>
      </c>
      <c r="I106" s="12">
        <v>4282000</v>
      </c>
      <c r="J106" s="85">
        <v>1</v>
      </c>
      <c r="K106" s="12">
        <f t="shared" si="13"/>
        <v>346842</v>
      </c>
      <c r="L106" s="84"/>
      <c r="N106" s="8">
        <f t="shared" si="14"/>
        <v>4282000</v>
      </c>
      <c r="O106" s="7" t="s">
        <v>804</v>
      </c>
    </row>
    <row r="107" spans="1:15" s="6" customFormat="1" x14ac:dyDescent="0.25">
      <c r="A107" s="9"/>
      <c r="B107" s="17" t="s">
        <v>30</v>
      </c>
      <c r="C107" s="9"/>
      <c r="D107" s="9"/>
      <c r="E107" s="9" t="s">
        <v>10</v>
      </c>
      <c r="F107" s="9"/>
      <c r="G107" s="9" t="s">
        <v>128</v>
      </c>
      <c r="H107" s="11">
        <f>1.8*1.7</f>
        <v>3.06</v>
      </c>
      <c r="I107" s="12">
        <v>459000</v>
      </c>
      <c r="J107" s="85">
        <v>1</v>
      </c>
      <c r="K107" s="12">
        <f t="shared" si="13"/>
        <v>1404540</v>
      </c>
      <c r="L107" s="84"/>
      <c r="N107" s="8">
        <f t="shared" ref="N107:N114" si="17">+I107</f>
        <v>459000</v>
      </c>
      <c r="O107" s="7"/>
    </row>
    <row r="108" spans="1:15" s="6" customFormat="1" x14ac:dyDescent="0.25">
      <c r="A108" s="9"/>
      <c r="B108" s="20" t="s">
        <v>53</v>
      </c>
      <c r="C108" s="9"/>
      <c r="D108" s="9"/>
      <c r="E108" s="9" t="s">
        <v>15</v>
      </c>
      <c r="F108" s="9" t="s">
        <v>50</v>
      </c>
      <c r="G108" s="9" t="s">
        <v>129</v>
      </c>
      <c r="H108" s="11">
        <f>5.5*2.5*0.1</f>
        <v>1.375</v>
      </c>
      <c r="I108" s="12">
        <v>763000</v>
      </c>
      <c r="J108" s="85">
        <v>1</v>
      </c>
      <c r="K108" s="12">
        <f t="shared" si="13"/>
        <v>1049125</v>
      </c>
      <c r="L108" s="84"/>
      <c r="N108" s="8">
        <f t="shared" si="17"/>
        <v>763000</v>
      </c>
      <c r="O108" s="7" t="s">
        <v>804</v>
      </c>
    </row>
    <row r="109" spans="1:15" s="6" customFormat="1" x14ac:dyDescent="0.25">
      <c r="A109" s="9"/>
      <c r="B109" s="20" t="s">
        <v>42</v>
      </c>
      <c r="C109" s="9"/>
      <c r="D109" s="9"/>
      <c r="E109" s="9" t="s">
        <v>10</v>
      </c>
      <c r="F109" s="9"/>
      <c r="G109" s="9" t="s">
        <v>130</v>
      </c>
      <c r="H109" s="11">
        <f>5.5*1.8+12.9*2.6</f>
        <v>43.44</v>
      </c>
      <c r="I109" s="12">
        <v>227000</v>
      </c>
      <c r="J109" s="85">
        <v>1</v>
      </c>
      <c r="K109" s="12">
        <f t="shared" si="13"/>
        <v>9860880</v>
      </c>
      <c r="L109" s="84"/>
      <c r="N109" s="8">
        <f t="shared" si="17"/>
        <v>227000</v>
      </c>
      <c r="O109" s="7"/>
    </row>
    <row r="110" spans="1:15" s="6" customFormat="1" ht="31.5" x14ac:dyDescent="0.25">
      <c r="A110" s="9"/>
      <c r="B110" s="20" t="s">
        <v>131</v>
      </c>
      <c r="C110" s="9"/>
      <c r="D110" s="9"/>
      <c r="E110" s="9" t="s">
        <v>10</v>
      </c>
      <c r="F110" s="9"/>
      <c r="G110" s="9" t="s">
        <v>132</v>
      </c>
      <c r="H110" s="24">
        <f>4.5*4.2+5.8*4.6</f>
        <v>45.58</v>
      </c>
      <c r="I110" s="12">
        <v>1313000</v>
      </c>
      <c r="J110" s="85">
        <v>1</v>
      </c>
      <c r="K110" s="12">
        <f t="shared" si="13"/>
        <v>59846540</v>
      </c>
      <c r="L110" s="84"/>
      <c r="N110" s="8">
        <f t="shared" si="17"/>
        <v>1313000</v>
      </c>
      <c r="O110" s="7"/>
    </row>
    <row r="111" spans="1:15" s="167" customFormat="1" x14ac:dyDescent="0.25">
      <c r="A111" s="161"/>
      <c r="B111" s="162" t="s">
        <v>133</v>
      </c>
      <c r="C111" s="161"/>
      <c r="D111" s="161"/>
      <c r="E111" s="161" t="s">
        <v>134</v>
      </c>
      <c r="F111" s="161" t="s">
        <v>39</v>
      </c>
      <c r="G111" s="173"/>
      <c r="H111" s="174">
        <v>1</v>
      </c>
      <c r="I111" s="171">
        <v>622000</v>
      </c>
      <c r="J111" s="165">
        <v>1</v>
      </c>
      <c r="K111" s="171">
        <f t="shared" si="13"/>
        <v>622000</v>
      </c>
      <c r="L111" s="166"/>
      <c r="N111" s="168">
        <f t="shared" si="17"/>
        <v>622000</v>
      </c>
      <c r="O111" s="169"/>
    </row>
    <row r="112" spans="1:15" s="167" customFormat="1" x14ac:dyDescent="0.25">
      <c r="A112" s="161"/>
      <c r="B112" s="170" t="s">
        <v>135</v>
      </c>
      <c r="C112" s="161"/>
      <c r="D112" s="161"/>
      <c r="E112" s="161" t="s">
        <v>134</v>
      </c>
      <c r="F112" s="161" t="s">
        <v>40</v>
      </c>
      <c r="G112" s="173"/>
      <c r="H112" s="174">
        <v>1</v>
      </c>
      <c r="I112" s="171">
        <v>130000</v>
      </c>
      <c r="J112" s="165">
        <v>1</v>
      </c>
      <c r="K112" s="171">
        <f t="shared" si="13"/>
        <v>130000</v>
      </c>
      <c r="L112" s="166"/>
      <c r="N112" s="168">
        <f t="shared" si="17"/>
        <v>130000</v>
      </c>
      <c r="O112" s="169"/>
    </row>
    <row r="113" spans="1:15" s="167" customFormat="1" x14ac:dyDescent="0.25">
      <c r="A113" s="161"/>
      <c r="B113" s="170" t="s">
        <v>805</v>
      </c>
      <c r="C113" s="161"/>
      <c r="D113" s="161"/>
      <c r="E113" s="161" t="s">
        <v>134</v>
      </c>
      <c r="F113" s="161"/>
      <c r="G113" s="173"/>
      <c r="H113" s="174">
        <v>45</v>
      </c>
      <c r="I113" s="171">
        <v>10000</v>
      </c>
      <c r="J113" s="165">
        <v>1</v>
      </c>
      <c r="K113" s="171">
        <f t="shared" si="13"/>
        <v>450000</v>
      </c>
      <c r="L113" s="166"/>
      <c r="N113" s="168">
        <f t="shared" si="17"/>
        <v>10000</v>
      </c>
      <c r="O113" s="169"/>
    </row>
    <row r="114" spans="1:15" s="167" customFormat="1" x14ac:dyDescent="0.25">
      <c r="A114" s="161"/>
      <c r="B114" s="162" t="s">
        <v>33</v>
      </c>
      <c r="C114" s="161"/>
      <c r="D114" s="161"/>
      <c r="E114" s="161" t="s">
        <v>134</v>
      </c>
      <c r="F114" s="161" t="s">
        <v>27</v>
      </c>
      <c r="G114" s="161"/>
      <c r="H114" s="163">
        <v>3</v>
      </c>
      <c r="I114" s="171">
        <v>222000</v>
      </c>
      <c r="J114" s="165">
        <v>1</v>
      </c>
      <c r="K114" s="171">
        <f t="shared" si="13"/>
        <v>666000</v>
      </c>
      <c r="L114" s="166"/>
      <c r="N114" s="168">
        <f t="shared" si="17"/>
        <v>222000</v>
      </c>
      <c r="O114" s="169"/>
    </row>
    <row r="115" spans="1:15" s="167" customFormat="1" x14ac:dyDescent="0.25">
      <c r="A115" s="161"/>
      <c r="B115" s="162" t="s">
        <v>25</v>
      </c>
      <c r="C115" s="161"/>
      <c r="D115" s="161"/>
      <c r="E115" s="161" t="s">
        <v>134</v>
      </c>
      <c r="F115" s="161" t="s">
        <v>136</v>
      </c>
      <c r="G115" s="173"/>
      <c r="H115" s="174">
        <v>1</v>
      </c>
      <c r="I115" s="171">
        <v>264000</v>
      </c>
      <c r="J115" s="165">
        <v>1</v>
      </c>
      <c r="K115" s="171">
        <f>I115*H115</f>
        <v>264000</v>
      </c>
      <c r="L115" s="166"/>
      <c r="N115" s="175">
        <v>264000</v>
      </c>
      <c r="O115" s="169"/>
    </row>
    <row r="116" spans="1:15" s="167" customFormat="1" x14ac:dyDescent="0.25">
      <c r="A116" s="161"/>
      <c r="B116" s="170" t="s">
        <v>137</v>
      </c>
      <c r="C116" s="161"/>
      <c r="D116" s="161"/>
      <c r="E116" s="161" t="s">
        <v>134</v>
      </c>
      <c r="F116" s="161" t="s">
        <v>19</v>
      </c>
      <c r="G116" s="173"/>
      <c r="H116" s="174">
        <v>2</v>
      </c>
      <c r="I116" s="171">
        <v>37000</v>
      </c>
      <c r="J116" s="165">
        <v>1</v>
      </c>
      <c r="K116" s="171">
        <f t="shared" si="13"/>
        <v>74000</v>
      </c>
      <c r="L116" s="166"/>
      <c r="N116" s="168">
        <f t="shared" ref="N116:N125" si="18">+I116</f>
        <v>37000</v>
      </c>
      <c r="O116" s="169"/>
    </row>
    <row r="117" spans="1:15" s="6" customFormat="1" x14ac:dyDescent="0.25">
      <c r="A117" s="9"/>
      <c r="B117" s="20" t="s">
        <v>89</v>
      </c>
      <c r="C117" s="9"/>
      <c r="D117" s="9"/>
      <c r="E117" s="9" t="s">
        <v>15</v>
      </c>
      <c r="F117" s="9" t="s">
        <v>50</v>
      </c>
      <c r="G117" s="21" t="s">
        <v>138</v>
      </c>
      <c r="H117" s="22">
        <f>7.4*8.9*0.15</f>
        <v>9.8789999999999996</v>
      </c>
      <c r="I117" s="12">
        <v>763000</v>
      </c>
      <c r="J117" s="85">
        <v>1</v>
      </c>
      <c r="K117" s="12">
        <f t="shared" si="13"/>
        <v>7537677</v>
      </c>
      <c r="L117" s="84"/>
      <c r="N117" s="8">
        <f t="shared" si="18"/>
        <v>763000</v>
      </c>
      <c r="O117" s="7" t="s">
        <v>804</v>
      </c>
    </row>
    <row r="118" spans="1:15" s="6" customFormat="1" x14ac:dyDescent="0.25">
      <c r="A118" s="9"/>
      <c r="B118" s="17" t="s">
        <v>12</v>
      </c>
      <c r="C118" s="9"/>
      <c r="D118" s="9"/>
      <c r="E118" s="121" t="s">
        <v>14</v>
      </c>
      <c r="F118" s="121" t="s">
        <v>139</v>
      </c>
      <c r="G118" s="121" t="s">
        <v>46</v>
      </c>
      <c r="H118" s="11">
        <v>50</v>
      </c>
      <c r="I118" s="18">
        <v>136000</v>
      </c>
      <c r="J118" s="85">
        <v>1</v>
      </c>
      <c r="K118" s="18">
        <f t="shared" ref="K118:K119" si="19">H118*I118</f>
        <v>6800000</v>
      </c>
      <c r="L118" s="84"/>
      <c r="N118" s="8">
        <f t="shared" si="18"/>
        <v>136000</v>
      </c>
      <c r="O118" s="7"/>
    </row>
    <row r="119" spans="1:15" s="6" customFormat="1" x14ac:dyDescent="0.25">
      <c r="A119" s="9"/>
      <c r="B119" s="17" t="s">
        <v>64</v>
      </c>
      <c r="C119" s="9"/>
      <c r="D119" s="9"/>
      <c r="E119" s="121"/>
      <c r="F119" s="121"/>
      <c r="G119" s="121"/>
      <c r="H119" s="11">
        <v>10</v>
      </c>
      <c r="I119" s="18">
        <v>245000</v>
      </c>
      <c r="J119" s="85">
        <v>1</v>
      </c>
      <c r="K119" s="18">
        <f t="shared" si="19"/>
        <v>2450000</v>
      </c>
      <c r="L119" s="84"/>
      <c r="N119" s="8">
        <f t="shared" si="18"/>
        <v>245000</v>
      </c>
      <c r="O119" s="7"/>
    </row>
    <row r="120" spans="1:15" s="6" customFormat="1" x14ac:dyDescent="0.25">
      <c r="A120" s="9"/>
      <c r="B120" s="20" t="s">
        <v>181</v>
      </c>
      <c r="C120" s="9"/>
      <c r="D120" s="9"/>
      <c r="E120" s="9" t="s">
        <v>10</v>
      </c>
      <c r="F120" s="9"/>
      <c r="G120" s="9" t="s">
        <v>140</v>
      </c>
      <c r="H120" s="24">
        <f>(3.1+7.7+5.1)*1.9</f>
        <v>30.21</v>
      </c>
      <c r="I120" s="18">
        <v>227000</v>
      </c>
      <c r="J120" s="85">
        <v>1</v>
      </c>
      <c r="K120" s="18">
        <f t="shared" ref="K120:K132" si="20">H120*I120</f>
        <v>6857670</v>
      </c>
      <c r="L120" s="84"/>
      <c r="N120" s="8">
        <f t="shared" si="18"/>
        <v>227000</v>
      </c>
      <c r="O120" s="7"/>
    </row>
    <row r="121" spans="1:15" s="6" customFormat="1" ht="31.5" x14ac:dyDescent="0.25">
      <c r="A121" s="9"/>
      <c r="B121" s="20" t="s">
        <v>207</v>
      </c>
      <c r="C121" s="9"/>
      <c r="D121" s="9"/>
      <c r="E121" s="9" t="s">
        <v>15</v>
      </c>
      <c r="F121" s="21" t="s">
        <v>215</v>
      </c>
      <c r="G121" s="21" t="s">
        <v>262</v>
      </c>
      <c r="H121" s="88">
        <f>0.5*0.5*3.14*8</f>
        <v>6.28</v>
      </c>
      <c r="I121" s="18">
        <f>236000</f>
        <v>236000</v>
      </c>
      <c r="J121" s="85">
        <v>1</v>
      </c>
      <c r="K121" s="18">
        <f t="shared" si="20"/>
        <v>1482080</v>
      </c>
      <c r="L121" s="84"/>
      <c r="N121" s="8">
        <f t="shared" si="18"/>
        <v>236000</v>
      </c>
      <c r="O121" s="7"/>
    </row>
    <row r="122" spans="1:15" s="6" customFormat="1" ht="33" customHeight="1" x14ac:dyDescent="0.25">
      <c r="A122" s="9"/>
      <c r="B122" s="20" t="s">
        <v>59</v>
      </c>
      <c r="C122" s="9"/>
      <c r="D122" s="9"/>
      <c r="E122" s="9" t="s">
        <v>15</v>
      </c>
      <c r="F122" s="9"/>
      <c r="G122" s="21" t="s">
        <v>263</v>
      </c>
      <c r="H122" s="22">
        <f>0.5*0.5*3.14*8-0.3*0.3*3.14*8</f>
        <v>4.0191999999999997</v>
      </c>
      <c r="I122" s="18">
        <v>1186000</v>
      </c>
      <c r="J122" s="85">
        <v>1</v>
      </c>
      <c r="K122" s="18">
        <f t="shared" si="20"/>
        <v>4766771.1999999993</v>
      </c>
      <c r="L122" s="84"/>
      <c r="N122" s="8">
        <f t="shared" si="18"/>
        <v>1186000</v>
      </c>
      <c r="O122" s="7"/>
    </row>
    <row r="123" spans="1:15" s="6" customFormat="1" ht="47.25" x14ac:dyDescent="0.25">
      <c r="A123" s="9"/>
      <c r="B123" s="20" t="s">
        <v>182</v>
      </c>
      <c r="C123" s="9"/>
      <c r="D123" s="9"/>
      <c r="E123" s="9" t="s">
        <v>10</v>
      </c>
      <c r="F123" s="9"/>
      <c r="G123" s="9" t="s">
        <v>183</v>
      </c>
      <c r="H123" s="24">
        <f>3.1*4</f>
        <v>12.4</v>
      </c>
      <c r="I123" s="18">
        <v>1565000</v>
      </c>
      <c r="J123" s="85">
        <v>1</v>
      </c>
      <c r="K123" s="18">
        <f t="shared" si="20"/>
        <v>19406000</v>
      </c>
      <c r="L123" s="84"/>
      <c r="N123" s="8">
        <f t="shared" si="18"/>
        <v>1565000</v>
      </c>
      <c r="O123" s="7"/>
    </row>
    <row r="124" spans="1:15" s="6" customFormat="1" x14ac:dyDescent="0.25">
      <c r="A124" s="9"/>
      <c r="B124" s="17" t="s">
        <v>13</v>
      </c>
      <c r="C124" s="9"/>
      <c r="D124" s="9"/>
      <c r="E124" s="9" t="s">
        <v>16</v>
      </c>
      <c r="F124" s="9"/>
      <c r="G124" s="9"/>
      <c r="H124" s="24">
        <v>1</v>
      </c>
      <c r="I124" s="18">
        <v>350000</v>
      </c>
      <c r="J124" s="85">
        <v>1</v>
      </c>
      <c r="K124" s="18">
        <f t="shared" si="20"/>
        <v>350000</v>
      </c>
      <c r="L124" s="84"/>
      <c r="N124" s="8">
        <f t="shared" si="18"/>
        <v>350000</v>
      </c>
      <c r="O124" s="7"/>
    </row>
    <row r="125" spans="1:15" s="6" customFormat="1" x14ac:dyDescent="0.25">
      <c r="A125" s="9"/>
      <c r="B125" s="17" t="s">
        <v>184</v>
      </c>
      <c r="C125" s="9"/>
      <c r="D125" s="9"/>
      <c r="E125" s="9" t="s">
        <v>16</v>
      </c>
      <c r="F125" s="9"/>
      <c r="G125" s="9"/>
      <c r="H125" s="24">
        <v>1</v>
      </c>
      <c r="I125" s="18">
        <v>143000</v>
      </c>
      <c r="J125" s="85">
        <v>1</v>
      </c>
      <c r="K125" s="18">
        <f t="shared" si="20"/>
        <v>143000</v>
      </c>
      <c r="L125" s="84"/>
      <c r="N125" s="8">
        <f t="shared" si="18"/>
        <v>143000</v>
      </c>
      <c r="O125" s="7"/>
    </row>
    <row r="126" spans="1:15" s="6" customFormat="1" x14ac:dyDescent="0.25">
      <c r="A126" s="9"/>
      <c r="B126" s="17" t="s">
        <v>17</v>
      </c>
      <c r="C126" s="9"/>
      <c r="D126" s="9"/>
      <c r="E126" s="9" t="s">
        <v>16</v>
      </c>
      <c r="F126" s="9"/>
      <c r="G126" s="9"/>
      <c r="H126" s="24">
        <v>1</v>
      </c>
      <c r="I126" s="18">
        <v>450000</v>
      </c>
      <c r="J126" s="85">
        <v>1</v>
      </c>
      <c r="K126" s="18">
        <f t="shared" si="20"/>
        <v>450000</v>
      </c>
      <c r="L126" s="84"/>
      <c r="N126" s="19">
        <v>450000</v>
      </c>
      <c r="O126" s="7"/>
    </row>
    <row r="127" spans="1:15" s="6" customFormat="1" x14ac:dyDescent="0.25">
      <c r="A127" s="9"/>
      <c r="B127" s="17" t="s">
        <v>185</v>
      </c>
      <c r="C127" s="9"/>
      <c r="D127" s="9"/>
      <c r="E127" s="9" t="s">
        <v>15</v>
      </c>
      <c r="F127" s="9"/>
      <c r="G127" s="9" t="s">
        <v>186</v>
      </c>
      <c r="H127" s="24">
        <f>1.1*1.3*1</f>
        <v>1.4300000000000002</v>
      </c>
      <c r="I127" s="18">
        <v>1145000</v>
      </c>
      <c r="J127" s="85">
        <v>1</v>
      </c>
      <c r="K127" s="18">
        <f t="shared" si="20"/>
        <v>1637350.0000000002</v>
      </c>
      <c r="L127" s="84"/>
      <c r="N127" s="8">
        <f t="shared" ref="N127:N144" si="21">+I127</f>
        <v>1145000</v>
      </c>
      <c r="O127" s="7"/>
    </row>
    <row r="128" spans="1:15" s="6" customFormat="1" ht="31.5" x14ac:dyDescent="0.25">
      <c r="A128" s="9"/>
      <c r="B128" s="10" t="s">
        <v>187</v>
      </c>
      <c r="C128" s="9"/>
      <c r="D128" s="9"/>
      <c r="E128" s="9" t="s">
        <v>10</v>
      </c>
      <c r="F128" s="9"/>
      <c r="G128" s="9" t="s">
        <v>188</v>
      </c>
      <c r="H128" s="24">
        <f>3.7*6</f>
        <v>22.200000000000003</v>
      </c>
      <c r="I128" s="18">
        <v>508000</v>
      </c>
      <c r="J128" s="85">
        <v>1</v>
      </c>
      <c r="K128" s="18">
        <f t="shared" si="20"/>
        <v>11277600.000000002</v>
      </c>
      <c r="L128" s="84"/>
      <c r="N128" s="8">
        <f t="shared" si="21"/>
        <v>508000</v>
      </c>
      <c r="O128" s="7"/>
    </row>
    <row r="129" spans="1:15" s="6" customFormat="1" x14ac:dyDescent="0.25">
      <c r="A129" s="9"/>
      <c r="B129" s="17" t="s">
        <v>74</v>
      </c>
      <c r="C129" s="9"/>
      <c r="D129" s="9"/>
      <c r="E129" s="9" t="s">
        <v>10</v>
      </c>
      <c r="F129" s="9"/>
      <c r="G129" s="9" t="s">
        <v>189</v>
      </c>
      <c r="H129" s="24">
        <f>2*(3.2+1)</f>
        <v>8.4</v>
      </c>
      <c r="I129" s="18">
        <v>425000</v>
      </c>
      <c r="J129" s="85">
        <v>1</v>
      </c>
      <c r="K129" s="18">
        <f t="shared" si="20"/>
        <v>3570000</v>
      </c>
      <c r="L129" s="84"/>
      <c r="N129" s="8">
        <f t="shared" si="21"/>
        <v>425000</v>
      </c>
      <c r="O129" s="7"/>
    </row>
    <row r="130" spans="1:15" s="6" customFormat="1" x14ac:dyDescent="0.25">
      <c r="A130" s="9"/>
      <c r="B130" s="17" t="s">
        <v>191</v>
      </c>
      <c r="C130" s="9"/>
      <c r="D130" s="9"/>
      <c r="E130" s="9" t="s">
        <v>15</v>
      </c>
      <c r="F130" s="9"/>
      <c r="G130" s="9" t="s">
        <v>190</v>
      </c>
      <c r="H130" s="24">
        <f>2*(1.4+1.3)*1.7*0.11</f>
        <v>1.0098</v>
      </c>
      <c r="I130" s="18">
        <v>2135000</v>
      </c>
      <c r="J130" s="85">
        <v>1</v>
      </c>
      <c r="K130" s="18">
        <f t="shared" si="20"/>
        <v>2155923</v>
      </c>
      <c r="L130" s="84"/>
      <c r="N130" s="8">
        <f t="shared" si="21"/>
        <v>2135000</v>
      </c>
      <c r="O130" s="7"/>
    </row>
    <row r="131" spans="1:15" s="6" customFormat="1" ht="31.5" x14ac:dyDescent="0.25">
      <c r="A131" s="9"/>
      <c r="B131" s="20" t="s">
        <v>192</v>
      </c>
      <c r="C131" s="9"/>
      <c r="D131" s="9"/>
      <c r="E131" s="9" t="s">
        <v>15</v>
      </c>
      <c r="F131" s="9" t="s">
        <v>43</v>
      </c>
      <c r="G131" s="9" t="s">
        <v>193</v>
      </c>
      <c r="H131" s="24">
        <f>1.4*1.3*0.1</f>
        <v>0.182</v>
      </c>
      <c r="I131" s="18">
        <v>3341000</v>
      </c>
      <c r="J131" s="85">
        <v>1</v>
      </c>
      <c r="K131" s="18">
        <f t="shared" si="20"/>
        <v>608062</v>
      </c>
      <c r="L131" s="84"/>
      <c r="N131" s="8">
        <f t="shared" si="21"/>
        <v>3341000</v>
      </c>
      <c r="O131" s="7" t="s">
        <v>804</v>
      </c>
    </row>
    <row r="132" spans="1:15" s="6" customFormat="1" x14ac:dyDescent="0.25">
      <c r="A132" s="9"/>
      <c r="B132" s="17" t="s">
        <v>53</v>
      </c>
      <c r="C132" s="9"/>
      <c r="D132" s="9"/>
      <c r="E132" s="9" t="s">
        <v>15</v>
      </c>
      <c r="F132" s="9" t="s">
        <v>50</v>
      </c>
      <c r="G132" s="9" t="s">
        <v>194</v>
      </c>
      <c r="H132" s="24">
        <f>6*3.2*0.2</f>
        <v>3.8400000000000007</v>
      </c>
      <c r="I132" s="18">
        <v>763000</v>
      </c>
      <c r="J132" s="85">
        <v>1</v>
      </c>
      <c r="K132" s="18">
        <f t="shared" si="20"/>
        <v>2929920.0000000005</v>
      </c>
      <c r="L132" s="84"/>
      <c r="N132" s="8">
        <f t="shared" si="21"/>
        <v>763000</v>
      </c>
      <c r="O132" s="7" t="s">
        <v>804</v>
      </c>
    </row>
    <row r="133" spans="1:15" s="6" customFormat="1" x14ac:dyDescent="0.25">
      <c r="A133" s="9"/>
      <c r="B133" s="17" t="s">
        <v>175</v>
      </c>
      <c r="C133" s="9"/>
      <c r="D133" s="9"/>
      <c r="E133" s="9" t="s">
        <v>14</v>
      </c>
      <c r="F133" s="9" t="s">
        <v>26</v>
      </c>
      <c r="G133" s="9"/>
      <c r="H133" s="11">
        <v>29</v>
      </c>
      <c r="I133" s="18">
        <v>46000</v>
      </c>
      <c r="J133" s="85">
        <v>1</v>
      </c>
      <c r="K133" s="12">
        <f t="shared" ref="K133:K137" si="22">I133*H133</f>
        <v>1334000</v>
      </c>
      <c r="L133" s="84"/>
      <c r="N133" s="8">
        <f t="shared" si="21"/>
        <v>46000</v>
      </c>
      <c r="O133" s="7"/>
    </row>
    <row r="134" spans="1:15" s="6" customFormat="1" x14ac:dyDescent="0.25">
      <c r="A134" s="9"/>
      <c r="B134" s="17" t="s">
        <v>195</v>
      </c>
      <c r="C134" s="9"/>
      <c r="D134" s="9"/>
      <c r="E134" s="9" t="s">
        <v>15</v>
      </c>
      <c r="F134" s="9"/>
      <c r="G134" s="9" t="s">
        <v>196</v>
      </c>
      <c r="H134" s="24">
        <f>0.6*0.7*4</f>
        <v>1.68</v>
      </c>
      <c r="I134" s="18">
        <v>1145000</v>
      </c>
      <c r="J134" s="85">
        <v>1</v>
      </c>
      <c r="K134" s="12">
        <f t="shared" si="22"/>
        <v>1923600</v>
      </c>
      <c r="L134" s="84"/>
      <c r="N134" s="8">
        <f t="shared" si="21"/>
        <v>1145000</v>
      </c>
      <c r="O134" s="7"/>
    </row>
    <row r="135" spans="1:15" s="6" customFormat="1" x14ac:dyDescent="0.25">
      <c r="A135" s="9"/>
      <c r="B135" s="17" t="s">
        <v>198</v>
      </c>
      <c r="C135" s="9"/>
      <c r="D135" s="9"/>
      <c r="E135" s="9" t="s">
        <v>15</v>
      </c>
      <c r="F135" s="9"/>
      <c r="G135" s="9" t="s">
        <v>197</v>
      </c>
      <c r="H135" s="24">
        <f>2*(3.1+3.5)*1.5*0.11</f>
        <v>2.1779999999999995</v>
      </c>
      <c r="I135" s="18">
        <v>1714000</v>
      </c>
      <c r="J135" s="85">
        <v>1</v>
      </c>
      <c r="K135" s="12">
        <f t="shared" si="22"/>
        <v>3733091.9999999991</v>
      </c>
      <c r="L135" s="84"/>
      <c r="N135" s="8">
        <f t="shared" si="21"/>
        <v>1714000</v>
      </c>
      <c r="O135" s="7"/>
    </row>
    <row r="136" spans="1:15" s="6" customFormat="1" ht="31.5" x14ac:dyDescent="0.25">
      <c r="A136" s="9"/>
      <c r="B136" s="20" t="s">
        <v>199</v>
      </c>
      <c r="C136" s="9"/>
      <c r="D136" s="9"/>
      <c r="E136" s="9" t="s">
        <v>15</v>
      </c>
      <c r="F136" s="9" t="s">
        <v>43</v>
      </c>
      <c r="G136" s="9" t="s">
        <v>200</v>
      </c>
      <c r="H136" s="24">
        <f>3.1*3.5*0.1</f>
        <v>1.085</v>
      </c>
      <c r="I136" s="18">
        <v>3341000</v>
      </c>
      <c r="J136" s="85">
        <v>1</v>
      </c>
      <c r="K136" s="12">
        <f t="shared" si="22"/>
        <v>3624985</v>
      </c>
      <c r="L136" s="84"/>
      <c r="N136" s="8">
        <f t="shared" si="21"/>
        <v>3341000</v>
      </c>
      <c r="O136" s="7" t="s">
        <v>804</v>
      </c>
    </row>
    <row r="137" spans="1:15" s="6" customFormat="1" x14ac:dyDescent="0.25">
      <c r="A137" s="9"/>
      <c r="B137" s="17" t="s">
        <v>173</v>
      </c>
      <c r="C137" s="9"/>
      <c r="D137" s="9"/>
      <c r="E137" s="9" t="s">
        <v>10</v>
      </c>
      <c r="F137" s="9"/>
      <c r="G137" s="9" t="s">
        <v>201</v>
      </c>
      <c r="H137" s="24">
        <f>6*3.2</f>
        <v>19.200000000000003</v>
      </c>
      <c r="I137" s="18">
        <v>181000</v>
      </c>
      <c r="J137" s="85">
        <v>1</v>
      </c>
      <c r="K137" s="12">
        <f t="shared" si="22"/>
        <v>3475200.0000000005</v>
      </c>
      <c r="L137" s="84"/>
      <c r="N137" s="8">
        <f t="shared" si="21"/>
        <v>181000</v>
      </c>
      <c r="O137" s="7"/>
    </row>
    <row r="138" spans="1:15" s="191" customFormat="1" x14ac:dyDescent="0.25">
      <c r="A138" s="185"/>
      <c r="B138" s="186" t="s">
        <v>803</v>
      </c>
      <c r="C138" s="185"/>
      <c r="D138" s="185"/>
      <c r="E138" s="185" t="s">
        <v>47</v>
      </c>
      <c r="F138" s="185"/>
      <c r="G138" s="185"/>
      <c r="H138" s="187">
        <v>6</v>
      </c>
      <c r="I138" s="188">
        <v>2000000</v>
      </c>
      <c r="J138" s="189">
        <v>1</v>
      </c>
      <c r="K138" s="188">
        <f t="shared" ref="K138:K141" si="23">H138*I138</f>
        <v>12000000</v>
      </c>
      <c r="L138" s="190"/>
      <c r="N138" s="192">
        <f t="shared" si="21"/>
        <v>2000000</v>
      </c>
      <c r="O138" s="193"/>
    </row>
    <row r="139" spans="1:15" s="191" customFormat="1" x14ac:dyDescent="0.25">
      <c r="A139" s="185"/>
      <c r="B139" s="186" t="s">
        <v>48</v>
      </c>
      <c r="C139" s="194"/>
      <c r="D139" s="185"/>
      <c r="E139" s="185" t="s">
        <v>49</v>
      </c>
      <c r="F139" s="185"/>
      <c r="G139" s="185"/>
      <c r="H139" s="187">
        <v>1</v>
      </c>
      <c r="I139" s="188">
        <v>5000000</v>
      </c>
      <c r="J139" s="189">
        <v>1</v>
      </c>
      <c r="K139" s="188">
        <f t="shared" si="23"/>
        <v>5000000</v>
      </c>
      <c r="L139" s="190"/>
      <c r="N139" s="192">
        <f t="shared" si="21"/>
        <v>5000000</v>
      </c>
      <c r="O139" s="193"/>
    </row>
    <row r="140" spans="1:15" s="6" customFormat="1" x14ac:dyDescent="0.25">
      <c r="A140" s="9"/>
      <c r="B140" s="20" t="s">
        <v>218</v>
      </c>
      <c r="C140" s="9"/>
      <c r="D140" s="9"/>
      <c r="E140" s="9" t="s">
        <v>15</v>
      </c>
      <c r="F140" s="9"/>
      <c r="G140" s="21" t="s">
        <v>217</v>
      </c>
      <c r="H140" s="22">
        <f>(8*3+6.8*2)*0.33*0.6</f>
        <v>7.4448000000000008</v>
      </c>
      <c r="I140" s="12">
        <v>914000</v>
      </c>
      <c r="J140" s="85">
        <v>1</v>
      </c>
      <c r="K140" s="12">
        <f t="shared" si="23"/>
        <v>6804547.2000000011</v>
      </c>
      <c r="L140" s="23"/>
      <c r="N140" s="8">
        <f t="shared" si="21"/>
        <v>914000</v>
      </c>
      <c r="O140" s="7"/>
    </row>
    <row r="141" spans="1:15" s="6" customFormat="1" x14ac:dyDescent="0.25">
      <c r="A141" s="9"/>
      <c r="B141" s="20" t="s">
        <v>219</v>
      </c>
      <c r="C141" s="9"/>
      <c r="D141" s="9"/>
      <c r="E141" s="9" t="s">
        <v>15</v>
      </c>
      <c r="F141" s="9"/>
      <c r="G141" s="9" t="s">
        <v>220</v>
      </c>
      <c r="H141" s="22">
        <f>(8*6.8-7.4448)*0.6</f>
        <v>28.173119999999997</v>
      </c>
      <c r="I141" s="12">
        <v>127000</v>
      </c>
      <c r="J141" s="85">
        <v>1</v>
      </c>
      <c r="K141" s="12">
        <f t="shared" si="23"/>
        <v>3577986.2399999998</v>
      </c>
      <c r="L141" s="23"/>
      <c r="N141" s="8">
        <f t="shared" si="21"/>
        <v>127000</v>
      </c>
      <c r="O141" s="7" t="s">
        <v>808</v>
      </c>
    </row>
    <row r="142" spans="1:15" s="6" customFormat="1" x14ac:dyDescent="0.25">
      <c r="A142" s="9"/>
      <c r="B142" s="20" t="s">
        <v>218</v>
      </c>
      <c r="C142" s="9"/>
      <c r="D142" s="9"/>
      <c r="E142" s="9" t="s">
        <v>15</v>
      </c>
      <c r="F142" s="9"/>
      <c r="G142" s="21" t="s">
        <v>221</v>
      </c>
      <c r="H142" s="22">
        <f>(8.4*2+5*3)*0.33*0.4</f>
        <v>4.1976000000000004</v>
      </c>
      <c r="I142" s="12">
        <v>914000</v>
      </c>
      <c r="J142" s="85">
        <v>1</v>
      </c>
      <c r="K142" s="12">
        <f t="shared" ref="K142:K144" si="24">H142*I142</f>
        <v>3836606.4000000004</v>
      </c>
      <c r="L142" s="23"/>
      <c r="N142" s="8">
        <f t="shared" si="21"/>
        <v>914000</v>
      </c>
      <c r="O142" s="7"/>
    </row>
    <row r="143" spans="1:15" s="6" customFormat="1" ht="18.75" customHeight="1" x14ac:dyDescent="0.25">
      <c r="A143" s="9"/>
      <c r="B143" s="20" t="s">
        <v>219</v>
      </c>
      <c r="C143" s="9"/>
      <c r="D143" s="9"/>
      <c r="E143" s="9" t="s">
        <v>15</v>
      </c>
      <c r="F143" s="9"/>
      <c r="G143" s="9" t="s">
        <v>222</v>
      </c>
      <c r="H143" s="22">
        <f>(8.4*5-4.1976)*0.4</f>
        <v>15.12096</v>
      </c>
      <c r="I143" s="12">
        <v>127000</v>
      </c>
      <c r="J143" s="85">
        <v>1</v>
      </c>
      <c r="K143" s="12">
        <f t="shared" si="24"/>
        <v>1920361.92</v>
      </c>
      <c r="L143" s="23"/>
      <c r="N143" s="8">
        <f t="shared" si="21"/>
        <v>127000</v>
      </c>
      <c r="O143" s="7" t="s">
        <v>808</v>
      </c>
    </row>
    <row r="144" spans="1:15" s="6" customFormat="1" ht="31.5" x14ac:dyDescent="0.25">
      <c r="A144" s="9"/>
      <c r="B144" s="20" t="s">
        <v>223</v>
      </c>
      <c r="C144" s="9"/>
      <c r="D144" s="9"/>
      <c r="E144" s="9" t="s">
        <v>15</v>
      </c>
      <c r="F144" s="9"/>
      <c r="G144" s="21" t="s">
        <v>224</v>
      </c>
      <c r="H144" s="22">
        <f>(5.5+12.9+3.1+7.7+5.1)*0.45*0.5</f>
        <v>7.7174999999999994</v>
      </c>
      <c r="I144" s="12">
        <v>552000</v>
      </c>
      <c r="J144" s="85">
        <v>1</v>
      </c>
      <c r="K144" s="12">
        <f t="shared" si="24"/>
        <v>4260060</v>
      </c>
      <c r="L144" s="23"/>
      <c r="N144" s="8">
        <f t="shared" si="21"/>
        <v>552000</v>
      </c>
      <c r="O144" s="7"/>
    </row>
    <row r="145" spans="1:15" s="6" customFormat="1" x14ac:dyDescent="0.25">
      <c r="A145" s="13">
        <v>8</v>
      </c>
      <c r="B145" s="14" t="s">
        <v>141</v>
      </c>
      <c r="C145" s="13">
        <v>139</v>
      </c>
      <c r="D145" s="13">
        <v>2</v>
      </c>
      <c r="E145" s="13"/>
      <c r="F145" s="13"/>
      <c r="G145" s="13"/>
      <c r="H145" s="15"/>
      <c r="I145" s="16"/>
      <c r="J145" s="39"/>
      <c r="K145" s="89">
        <f>SUM(K146:K189)</f>
        <v>960522754.79999995</v>
      </c>
      <c r="L145" s="84"/>
      <c r="N145" s="7"/>
      <c r="O145" s="7"/>
    </row>
    <row r="146" spans="1:15" s="139" customFormat="1" x14ac:dyDescent="0.25">
      <c r="A146" s="133"/>
      <c r="B146" s="134" t="s">
        <v>9</v>
      </c>
      <c r="C146" s="133"/>
      <c r="D146" s="133"/>
      <c r="E146" s="133" t="s">
        <v>10</v>
      </c>
      <c r="F146" s="133"/>
      <c r="G146" s="133"/>
      <c r="H146" s="135">
        <v>108.1</v>
      </c>
      <c r="I146" s="136">
        <v>4200000</v>
      </c>
      <c r="J146" s="137">
        <v>1</v>
      </c>
      <c r="K146" s="141">
        <f>H146*I146</f>
        <v>454020000</v>
      </c>
      <c r="L146" s="138"/>
      <c r="M146" s="6"/>
      <c r="N146" s="8">
        <f t="shared" ref="N146:N160" si="25">+I146</f>
        <v>4200000</v>
      </c>
      <c r="O146" s="7"/>
    </row>
    <row r="147" spans="1:15" s="6" customFormat="1" ht="78.75" x14ac:dyDescent="0.25">
      <c r="A147" s="9"/>
      <c r="B147" s="10" t="s">
        <v>142</v>
      </c>
      <c r="C147" s="9"/>
      <c r="D147" s="9"/>
      <c r="E147" s="9" t="s">
        <v>10</v>
      </c>
      <c r="F147" s="9"/>
      <c r="G147" s="21" t="s">
        <v>143</v>
      </c>
      <c r="H147" s="88">
        <f>4.3*3.6</f>
        <v>15.48</v>
      </c>
      <c r="I147" s="18">
        <f>2901000-38000</f>
        <v>2863000</v>
      </c>
      <c r="J147" s="85">
        <v>1</v>
      </c>
      <c r="K147" s="12">
        <f t="shared" ref="K147:K177" si="26">I147*H147</f>
        <v>44319240</v>
      </c>
      <c r="L147" s="84"/>
      <c r="N147" s="8">
        <f t="shared" si="25"/>
        <v>2863000</v>
      </c>
      <c r="O147" s="7"/>
    </row>
    <row r="148" spans="1:15" s="6" customFormat="1" x14ac:dyDescent="0.25">
      <c r="A148" s="9"/>
      <c r="B148" s="87" t="s">
        <v>56</v>
      </c>
      <c r="C148" s="9"/>
      <c r="D148" s="9"/>
      <c r="E148" s="9" t="s">
        <v>10</v>
      </c>
      <c r="F148" s="9"/>
      <c r="G148" s="21" t="s">
        <v>144</v>
      </c>
      <c r="H148" s="88">
        <f>3.8*3.1</f>
        <v>11.78</v>
      </c>
      <c r="I148" s="12">
        <v>77000</v>
      </c>
      <c r="J148" s="85">
        <v>1</v>
      </c>
      <c r="K148" s="12">
        <f t="shared" ref="K148:K149" si="27">H148*I148</f>
        <v>907060</v>
      </c>
      <c r="L148" s="84"/>
      <c r="N148" s="8">
        <f t="shared" si="25"/>
        <v>77000</v>
      </c>
      <c r="O148" s="7"/>
    </row>
    <row r="149" spans="1:15" s="6" customFormat="1" x14ac:dyDescent="0.25">
      <c r="A149" s="9"/>
      <c r="B149" s="87" t="s">
        <v>45</v>
      </c>
      <c r="C149" s="9"/>
      <c r="D149" s="9"/>
      <c r="E149" s="9" t="s">
        <v>10</v>
      </c>
      <c r="F149" s="9"/>
      <c r="G149" s="21" t="s">
        <v>144</v>
      </c>
      <c r="H149" s="88">
        <f>-3.8*3.1</f>
        <v>-11.78</v>
      </c>
      <c r="I149" s="12">
        <v>102000</v>
      </c>
      <c r="J149" s="85">
        <v>1</v>
      </c>
      <c r="K149" s="12">
        <f t="shared" si="27"/>
        <v>-1201560</v>
      </c>
      <c r="L149" s="84"/>
      <c r="N149" s="8">
        <f t="shared" si="25"/>
        <v>102000</v>
      </c>
      <c r="O149" s="7"/>
    </row>
    <row r="150" spans="1:15" s="6" customFormat="1" x14ac:dyDescent="0.25">
      <c r="A150" s="9"/>
      <c r="B150" s="20" t="s">
        <v>21</v>
      </c>
      <c r="C150" s="9"/>
      <c r="D150" s="9"/>
      <c r="E150" s="9" t="s">
        <v>10</v>
      </c>
      <c r="F150" s="9"/>
      <c r="G150" s="21" t="s">
        <v>143</v>
      </c>
      <c r="H150" s="88">
        <f>4.3*3.6</f>
        <v>15.48</v>
      </c>
      <c r="I150" s="18">
        <v>153000</v>
      </c>
      <c r="J150" s="85">
        <v>1</v>
      </c>
      <c r="K150" s="12">
        <f t="shared" si="26"/>
        <v>2368440</v>
      </c>
      <c r="L150" s="84"/>
      <c r="N150" s="8">
        <f t="shared" si="25"/>
        <v>153000</v>
      </c>
      <c r="O150" s="7"/>
    </row>
    <row r="151" spans="1:15" s="6" customFormat="1" ht="78.75" x14ac:dyDescent="0.25">
      <c r="A151" s="9"/>
      <c r="B151" s="10" t="s">
        <v>145</v>
      </c>
      <c r="C151" s="9"/>
      <c r="D151" s="9"/>
      <c r="E151" s="9" t="s">
        <v>10</v>
      </c>
      <c r="F151" s="9"/>
      <c r="G151" s="21" t="s">
        <v>202</v>
      </c>
      <c r="H151" s="88">
        <f>9.4*6.4</f>
        <v>60.160000000000004</v>
      </c>
      <c r="I151" s="18">
        <f>2901000+32000*3</f>
        <v>2997000</v>
      </c>
      <c r="J151" s="85">
        <v>1</v>
      </c>
      <c r="K151" s="12">
        <f t="shared" si="26"/>
        <v>180299520</v>
      </c>
      <c r="L151" s="84"/>
      <c r="N151" s="8">
        <f t="shared" si="25"/>
        <v>2997000</v>
      </c>
      <c r="O151" s="7"/>
    </row>
    <row r="152" spans="1:15" s="6" customFormat="1" x14ac:dyDescent="0.25">
      <c r="A152" s="9"/>
      <c r="B152" s="87" t="s">
        <v>56</v>
      </c>
      <c r="C152" s="9"/>
      <c r="D152" s="9"/>
      <c r="E152" s="9" t="s">
        <v>10</v>
      </c>
      <c r="F152" s="9"/>
      <c r="G152" s="21" t="s">
        <v>226</v>
      </c>
      <c r="H152" s="22">
        <f>9.1*6.1</f>
        <v>55.51</v>
      </c>
      <c r="I152" s="12">
        <v>77000</v>
      </c>
      <c r="J152" s="85">
        <v>1</v>
      </c>
      <c r="K152" s="12">
        <f t="shared" ref="K152:K153" si="28">H152*I152</f>
        <v>4274270</v>
      </c>
      <c r="L152" s="84"/>
      <c r="N152" s="8">
        <f t="shared" si="25"/>
        <v>77000</v>
      </c>
      <c r="O152" s="7"/>
    </row>
    <row r="153" spans="1:15" s="6" customFormat="1" x14ac:dyDescent="0.25">
      <c r="A153" s="9"/>
      <c r="B153" s="87" t="s">
        <v>45</v>
      </c>
      <c r="C153" s="9"/>
      <c r="D153" s="9"/>
      <c r="E153" s="9" t="s">
        <v>10</v>
      </c>
      <c r="F153" s="9"/>
      <c r="G153" s="21" t="s">
        <v>226</v>
      </c>
      <c r="H153" s="22">
        <f>-9.1*6.1</f>
        <v>-55.51</v>
      </c>
      <c r="I153" s="12">
        <v>102000</v>
      </c>
      <c r="J153" s="85">
        <v>1</v>
      </c>
      <c r="K153" s="12">
        <f t="shared" si="28"/>
        <v>-5662020</v>
      </c>
      <c r="L153" s="84"/>
      <c r="N153" s="8">
        <f t="shared" si="25"/>
        <v>102000</v>
      </c>
      <c r="O153" s="7"/>
    </row>
    <row r="154" spans="1:15" s="6" customFormat="1" x14ac:dyDescent="0.25">
      <c r="A154" s="9"/>
      <c r="B154" s="20" t="s">
        <v>21</v>
      </c>
      <c r="C154" s="9"/>
      <c r="D154" s="9"/>
      <c r="E154" s="9" t="s">
        <v>10</v>
      </c>
      <c r="F154" s="9"/>
      <c r="G154" s="21" t="s">
        <v>146</v>
      </c>
      <c r="H154" s="88">
        <f>8.8*6.4</f>
        <v>56.320000000000007</v>
      </c>
      <c r="I154" s="18">
        <v>153000</v>
      </c>
      <c r="J154" s="85">
        <v>1</v>
      </c>
      <c r="K154" s="12">
        <f t="shared" si="26"/>
        <v>8616960.0000000019</v>
      </c>
      <c r="L154" s="84"/>
      <c r="N154" s="8">
        <f t="shared" si="25"/>
        <v>153000</v>
      </c>
      <c r="O154" s="7"/>
    </row>
    <row r="155" spans="1:15" s="6" customFormat="1" ht="78.75" x14ac:dyDescent="0.25">
      <c r="A155" s="9"/>
      <c r="B155" s="10" t="s">
        <v>147</v>
      </c>
      <c r="C155" s="9"/>
      <c r="D155" s="9"/>
      <c r="E155" s="9" t="s">
        <v>10</v>
      </c>
      <c r="F155" s="9"/>
      <c r="G155" s="21" t="s">
        <v>148</v>
      </c>
      <c r="H155" s="22">
        <f>4.7*8.4</f>
        <v>39.480000000000004</v>
      </c>
      <c r="I155" s="18">
        <f>2901000</f>
        <v>2901000</v>
      </c>
      <c r="J155" s="85">
        <v>1</v>
      </c>
      <c r="K155" s="12">
        <f t="shared" si="26"/>
        <v>114531480.00000001</v>
      </c>
      <c r="L155" s="84"/>
      <c r="N155" s="8">
        <f t="shared" si="25"/>
        <v>2901000</v>
      </c>
      <c r="O155" s="7"/>
    </row>
    <row r="156" spans="1:15" s="6" customFormat="1" x14ac:dyDescent="0.25">
      <c r="A156" s="9"/>
      <c r="B156" s="87" t="s">
        <v>56</v>
      </c>
      <c r="C156" s="9"/>
      <c r="D156" s="9"/>
      <c r="E156" s="9" t="s">
        <v>10</v>
      </c>
      <c r="F156" s="9"/>
      <c r="G156" s="21" t="s">
        <v>149</v>
      </c>
      <c r="H156" s="22">
        <f>4.1*8.1</f>
        <v>33.209999999999994</v>
      </c>
      <c r="I156" s="12">
        <v>77000</v>
      </c>
      <c r="J156" s="85">
        <v>1</v>
      </c>
      <c r="K156" s="12">
        <f t="shared" ref="K156:K157" si="29">H156*I156</f>
        <v>2557169.9999999995</v>
      </c>
      <c r="L156" s="84"/>
      <c r="N156" s="8">
        <f t="shared" si="25"/>
        <v>77000</v>
      </c>
      <c r="O156" s="7"/>
    </row>
    <row r="157" spans="1:15" s="6" customFormat="1" x14ac:dyDescent="0.25">
      <c r="A157" s="9"/>
      <c r="B157" s="87" t="s">
        <v>45</v>
      </c>
      <c r="C157" s="9"/>
      <c r="D157" s="9"/>
      <c r="E157" s="9" t="s">
        <v>10</v>
      </c>
      <c r="F157" s="9"/>
      <c r="G157" s="21" t="s">
        <v>149</v>
      </c>
      <c r="H157" s="22">
        <f>-4.1*8.1</f>
        <v>-33.209999999999994</v>
      </c>
      <c r="I157" s="12">
        <v>102000</v>
      </c>
      <c r="J157" s="85">
        <v>1</v>
      </c>
      <c r="K157" s="12">
        <f t="shared" si="29"/>
        <v>-3387419.9999999995</v>
      </c>
      <c r="L157" s="84"/>
      <c r="N157" s="8">
        <f t="shared" si="25"/>
        <v>102000</v>
      </c>
      <c r="O157" s="7"/>
    </row>
    <row r="158" spans="1:15" s="6" customFormat="1" x14ac:dyDescent="0.25">
      <c r="A158" s="9"/>
      <c r="B158" s="20" t="s">
        <v>21</v>
      </c>
      <c r="C158" s="9"/>
      <c r="D158" s="9"/>
      <c r="E158" s="9" t="s">
        <v>10</v>
      </c>
      <c r="F158" s="9"/>
      <c r="G158" s="9" t="s">
        <v>148</v>
      </c>
      <c r="H158" s="11">
        <f>4.7*8.4</f>
        <v>39.480000000000004</v>
      </c>
      <c r="I158" s="18">
        <v>153000</v>
      </c>
      <c r="J158" s="85">
        <v>1</v>
      </c>
      <c r="K158" s="12">
        <f t="shared" si="26"/>
        <v>6040440.0000000009</v>
      </c>
      <c r="L158" s="84"/>
      <c r="N158" s="8">
        <f t="shared" si="25"/>
        <v>153000</v>
      </c>
      <c r="O158" s="7"/>
    </row>
    <row r="159" spans="1:15" s="6" customFormat="1" x14ac:dyDescent="0.25">
      <c r="A159" s="9"/>
      <c r="B159" s="20" t="s">
        <v>150</v>
      </c>
      <c r="C159" s="9"/>
      <c r="D159" s="9"/>
      <c r="E159" s="9" t="s">
        <v>10</v>
      </c>
      <c r="F159" s="9"/>
      <c r="G159" s="9" t="s">
        <v>151</v>
      </c>
      <c r="H159" s="11">
        <f>(3.5*1.7)*2</f>
        <v>11.9</v>
      </c>
      <c r="I159" s="18">
        <v>162000</v>
      </c>
      <c r="J159" s="85">
        <v>1</v>
      </c>
      <c r="K159" s="12">
        <f t="shared" si="26"/>
        <v>1927800</v>
      </c>
      <c r="L159" s="84"/>
      <c r="N159" s="8">
        <f t="shared" si="25"/>
        <v>162000</v>
      </c>
      <c r="O159" s="7"/>
    </row>
    <row r="160" spans="1:15" s="6" customFormat="1" x14ac:dyDescent="0.25">
      <c r="A160" s="9"/>
      <c r="B160" s="20" t="s">
        <v>152</v>
      </c>
      <c r="C160" s="9"/>
      <c r="D160" s="9"/>
      <c r="E160" s="9" t="s">
        <v>15</v>
      </c>
      <c r="F160" s="9" t="s">
        <v>43</v>
      </c>
      <c r="G160" s="21" t="s">
        <v>153</v>
      </c>
      <c r="H160" s="88">
        <f>3.5*0.6*0.1</f>
        <v>0.21000000000000002</v>
      </c>
      <c r="I160" s="12">
        <v>3341000</v>
      </c>
      <c r="J160" s="85">
        <v>1</v>
      </c>
      <c r="K160" s="12">
        <f t="shared" si="26"/>
        <v>701610.00000000012</v>
      </c>
      <c r="L160" s="84"/>
      <c r="N160" s="8">
        <f t="shared" si="25"/>
        <v>3341000</v>
      </c>
      <c r="O160" s="7" t="s">
        <v>804</v>
      </c>
    </row>
    <row r="161" spans="1:15" s="6" customFormat="1" ht="31.5" x14ac:dyDescent="0.25">
      <c r="A161" s="9"/>
      <c r="B161" s="20" t="s">
        <v>154</v>
      </c>
      <c r="C161" s="9"/>
      <c r="D161" s="9"/>
      <c r="E161" s="9" t="s">
        <v>10</v>
      </c>
      <c r="F161" s="9"/>
      <c r="G161" s="9" t="s">
        <v>155</v>
      </c>
      <c r="H161" s="11">
        <f>5.5*6.2</f>
        <v>34.1</v>
      </c>
      <c r="I161" s="18">
        <f>1313000-70000</f>
        <v>1243000</v>
      </c>
      <c r="J161" s="85">
        <v>1</v>
      </c>
      <c r="K161" s="12">
        <f t="shared" si="26"/>
        <v>42386300</v>
      </c>
      <c r="L161" s="84"/>
      <c r="N161" s="8">
        <f t="shared" ref="N161:N167" si="30">+I161</f>
        <v>1243000</v>
      </c>
      <c r="O161" s="7"/>
    </row>
    <row r="162" spans="1:15" s="6" customFormat="1" x14ac:dyDescent="0.25">
      <c r="A162" s="9"/>
      <c r="B162" s="20" t="s">
        <v>44</v>
      </c>
      <c r="C162" s="9"/>
      <c r="D162" s="9"/>
      <c r="E162" s="9" t="s">
        <v>10</v>
      </c>
      <c r="F162" s="9"/>
      <c r="G162" s="9" t="s">
        <v>156</v>
      </c>
      <c r="H162" s="11">
        <f>5.7*2.5</f>
        <v>14.25</v>
      </c>
      <c r="I162" s="18">
        <v>425000</v>
      </c>
      <c r="J162" s="85">
        <v>1</v>
      </c>
      <c r="K162" s="12">
        <f t="shared" si="26"/>
        <v>6056250</v>
      </c>
      <c r="L162" s="84"/>
      <c r="N162" s="8">
        <f t="shared" si="30"/>
        <v>425000</v>
      </c>
      <c r="O162" s="7"/>
    </row>
    <row r="163" spans="1:15" s="6" customFormat="1" x14ac:dyDescent="0.25">
      <c r="A163" s="9"/>
      <c r="B163" s="17" t="s">
        <v>29</v>
      </c>
      <c r="C163" s="9"/>
      <c r="D163" s="9"/>
      <c r="E163" s="9" t="s">
        <v>10</v>
      </c>
      <c r="F163" s="9"/>
      <c r="G163" s="9" t="s">
        <v>157</v>
      </c>
      <c r="H163" s="11">
        <f>5.2*2</f>
        <v>10.4</v>
      </c>
      <c r="I163" s="18">
        <v>347000</v>
      </c>
      <c r="J163" s="85">
        <v>1</v>
      </c>
      <c r="K163" s="12">
        <f t="shared" si="26"/>
        <v>3608800</v>
      </c>
      <c r="L163" s="84"/>
      <c r="N163" s="8">
        <f t="shared" si="30"/>
        <v>347000</v>
      </c>
      <c r="O163" s="7"/>
    </row>
    <row r="164" spans="1:15" s="6" customFormat="1" x14ac:dyDescent="0.25">
      <c r="A164" s="9"/>
      <c r="B164" s="17" t="s">
        <v>89</v>
      </c>
      <c r="C164" s="9"/>
      <c r="D164" s="9"/>
      <c r="E164" s="9" t="s">
        <v>15</v>
      </c>
      <c r="F164" s="9" t="s">
        <v>50</v>
      </c>
      <c r="G164" s="9" t="s">
        <v>158</v>
      </c>
      <c r="H164" s="11">
        <f>7.7*14*0.1</f>
        <v>10.780000000000001</v>
      </c>
      <c r="I164" s="18">
        <v>763000</v>
      </c>
      <c r="J164" s="85">
        <v>1</v>
      </c>
      <c r="K164" s="12">
        <f t="shared" si="26"/>
        <v>8225140.0000000009</v>
      </c>
      <c r="L164" s="84"/>
      <c r="N164" s="8">
        <f t="shared" si="30"/>
        <v>763000</v>
      </c>
      <c r="O164" s="7" t="s">
        <v>804</v>
      </c>
    </row>
    <row r="165" spans="1:15" s="6" customFormat="1" ht="31.5" x14ac:dyDescent="0.25">
      <c r="A165" s="9"/>
      <c r="B165" s="20" t="s">
        <v>159</v>
      </c>
      <c r="C165" s="9"/>
      <c r="D165" s="9"/>
      <c r="E165" s="9" t="s">
        <v>10</v>
      </c>
      <c r="F165" s="9"/>
      <c r="G165" s="9" t="s">
        <v>160</v>
      </c>
      <c r="H165" s="11">
        <f>5.3*5.7</f>
        <v>30.21</v>
      </c>
      <c r="I165" s="18">
        <v>356000</v>
      </c>
      <c r="J165" s="85">
        <v>1</v>
      </c>
      <c r="K165" s="12">
        <f t="shared" si="26"/>
        <v>10754760</v>
      </c>
      <c r="L165" s="84"/>
      <c r="N165" s="8">
        <f t="shared" si="30"/>
        <v>356000</v>
      </c>
      <c r="O165" s="7"/>
    </row>
    <row r="166" spans="1:15" s="6" customFormat="1" ht="47.25" x14ac:dyDescent="0.25">
      <c r="A166" s="9"/>
      <c r="B166" s="20" t="s">
        <v>161</v>
      </c>
      <c r="C166" s="9"/>
      <c r="D166" s="9"/>
      <c r="E166" s="9" t="s">
        <v>10</v>
      </c>
      <c r="F166" s="9"/>
      <c r="G166" s="9" t="s">
        <v>162</v>
      </c>
      <c r="H166" s="11">
        <f>2.5*2.8</f>
        <v>7</v>
      </c>
      <c r="I166" s="12">
        <v>1565000</v>
      </c>
      <c r="J166" s="85">
        <v>1</v>
      </c>
      <c r="K166" s="12">
        <f t="shared" si="26"/>
        <v>10955000</v>
      </c>
      <c r="L166" s="84"/>
      <c r="N166" s="8">
        <f t="shared" si="30"/>
        <v>1565000</v>
      </c>
      <c r="O166" s="7"/>
    </row>
    <row r="167" spans="1:15" s="6" customFormat="1" x14ac:dyDescent="0.25">
      <c r="A167" s="9"/>
      <c r="B167" s="17" t="s">
        <v>163</v>
      </c>
      <c r="C167" s="9"/>
      <c r="D167" s="9"/>
      <c r="E167" s="9" t="s">
        <v>61</v>
      </c>
      <c r="F167" s="9"/>
      <c r="G167" s="9" t="s">
        <v>164</v>
      </c>
      <c r="H167" s="11">
        <f>2*(2.8+2.5)*1.7*0.22</f>
        <v>3.9643999999999999</v>
      </c>
      <c r="I167" s="18">
        <v>1521000</v>
      </c>
      <c r="J167" s="85">
        <v>1</v>
      </c>
      <c r="K167" s="12">
        <f t="shared" si="26"/>
        <v>6029852.3999999994</v>
      </c>
      <c r="L167" s="84"/>
      <c r="N167" s="8">
        <f t="shared" si="30"/>
        <v>1521000</v>
      </c>
      <c r="O167" s="7"/>
    </row>
    <row r="168" spans="1:15" s="6" customFormat="1" x14ac:dyDescent="0.25">
      <c r="A168" s="9"/>
      <c r="B168" s="17" t="s">
        <v>165</v>
      </c>
      <c r="C168" s="9"/>
      <c r="D168" s="9"/>
      <c r="E168" s="9" t="s">
        <v>15</v>
      </c>
      <c r="F168" s="9" t="s">
        <v>43</v>
      </c>
      <c r="G168" s="9" t="s">
        <v>166</v>
      </c>
      <c r="H168" s="11">
        <f>2.8*2.5*0.1</f>
        <v>0.70000000000000007</v>
      </c>
      <c r="I168" s="18">
        <v>3341000</v>
      </c>
      <c r="J168" s="85">
        <v>1</v>
      </c>
      <c r="K168" s="12">
        <f t="shared" si="26"/>
        <v>2338700</v>
      </c>
      <c r="L168" s="84"/>
      <c r="N168" s="8">
        <f t="shared" ref="N168:N173" si="31">+I168</f>
        <v>3341000</v>
      </c>
      <c r="O168" s="7" t="s">
        <v>804</v>
      </c>
    </row>
    <row r="169" spans="1:15" s="6" customFormat="1" x14ac:dyDescent="0.25">
      <c r="A169" s="9"/>
      <c r="B169" s="17" t="s">
        <v>167</v>
      </c>
      <c r="C169" s="9"/>
      <c r="D169" s="9"/>
      <c r="E169" s="9" t="s">
        <v>15</v>
      </c>
      <c r="F169" s="9" t="s">
        <v>168</v>
      </c>
      <c r="G169" s="9" t="s">
        <v>169</v>
      </c>
      <c r="H169" s="11">
        <f>4.3*1.8*0.1</f>
        <v>0.77400000000000002</v>
      </c>
      <c r="I169" s="18">
        <v>763000</v>
      </c>
      <c r="J169" s="85">
        <v>1</v>
      </c>
      <c r="K169" s="12">
        <f t="shared" si="26"/>
        <v>590562</v>
      </c>
      <c r="L169" s="84"/>
      <c r="N169" s="8">
        <f t="shared" si="31"/>
        <v>763000</v>
      </c>
      <c r="O169" s="7" t="s">
        <v>804</v>
      </c>
    </row>
    <row r="170" spans="1:15" s="6" customFormat="1" x14ac:dyDescent="0.25">
      <c r="A170" s="9"/>
      <c r="B170" s="17" t="s">
        <v>170</v>
      </c>
      <c r="C170" s="9"/>
      <c r="D170" s="9"/>
      <c r="E170" s="121" t="s">
        <v>14</v>
      </c>
      <c r="F170" s="121" t="s">
        <v>264</v>
      </c>
      <c r="G170" s="121" t="s">
        <v>46</v>
      </c>
      <c r="H170" s="11">
        <v>50</v>
      </c>
      <c r="I170" s="18">
        <v>136000</v>
      </c>
      <c r="J170" s="85">
        <v>1</v>
      </c>
      <c r="K170" s="12">
        <f t="shared" si="26"/>
        <v>6800000</v>
      </c>
      <c r="L170" s="84"/>
      <c r="N170" s="8">
        <f t="shared" si="31"/>
        <v>136000</v>
      </c>
      <c r="O170" s="7"/>
    </row>
    <row r="171" spans="1:15" s="6" customFormat="1" x14ac:dyDescent="0.25">
      <c r="A171" s="9"/>
      <c r="B171" s="17" t="s">
        <v>64</v>
      </c>
      <c r="C171" s="9"/>
      <c r="D171" s="9"/>
      <c r="E171" s="121"/>
      <c r="F171" s="121"/>
      <c r="G171" s="121"/>
      <c r="H171" s="11">
        <v>8</v>
      </c>
      <c r="I171" s="18">
        <v>245000</v>
      </c>
      <c r="J171" s="85">
        <v>1</v>
      </c>
      <c r="K171" s="18">
        <f t="shared" ref="K171" si="32">H171*I171</f>
        <v>1960000</v>
      </c>
      <c r="L171" s="84"/>
      <c r="N171" s="8">
        <f t="shared" si="31"/>
        <v>245000</v>
      </c>
      <c r="O171" s="7"/>
    </row>
    <row r="172" spans="1:15" s="6" customFormat="1" x14ac:dyDescent="0.25">
      <c r="A172" s="9"/>
      <c r="B172" s="17" t="s">
        <v>30</v>
      </c>
      <c r="C172" s="9"/>
      <c r="D172" s="9"/>
      <c r="E172" s="9" t="s">
        <v>10</v>
      </c>
      <c r="F172" s="9"/>
      <c r="G172" s="9" t="s">
        <v>171</v>
      </c>
      <c r="H172" s="11">
        <f>1.9*2.1</f>
        <v>3.9899999999999998</v>
      </c>
      <c r="I172" s="18">
        <v>459000</v>
      </c>
      <c r="J172" s="85">
        <v>1</v>
      </c>
      <c r="K172" s="12">
        <f t="shared" si="26"/>
        <v>1831410</v>
      </c>
      <c r="L172" s="84"/>
      <c r="N172" s="8">
        <f t="shared" si="31"/>
        <v>459000</v>
      </c>
      <c r="O172" s="7"/>
    </row>
    <row r="173" spans="1:15" s="6" customFormat="1" x14ac:dyDescent="0.25">
      <c r="A173" s="9"/>
      <c r="B173" s="17" t="s">
        <v>13</v>
      </c>
      <c r="C173" s="9"/>
      <c r="D173" s="9"/>
      <c r="E173" s="9" t="s">
        <v>16</v>
      </c>
      <c r="F173" s="9"/>
      <c r="G173" s="9"/>
      <c r="H173" s="11">
        <v>1</v>
      </c>
      <c r="I173" s="12">
        <v>350000</v>
      </c>
      <c r="J173" s="85">
        <v>1</v>
      </c>
      <c r="K173" s="12">
        <f t="shared" si="26"/>
        <v>350000</v>
      </c>
      <c r="L173" s="84"/>
      <c r="N173" s="8">
        <f t="shared" si="31"/>
        <v>350000</v>
      </c>
      <c r="O173" s="7"/>
    </row>
    <row r="174" spans="1:15" s="6" customFormat="1" x14ac:dyDescent="0.25">
      <c r="A174" s="9"/>
      <c r="B174" s="17" t="s">
        <v>17</v>
      </c>
      <c r="C174" s="9"/>
      <c r="D174" s="9"/>
      <c r="E174" s="9" t="s">
        <v>16</v>
      </c>
      <c r="F174" s="9"/>
      <c r="G174" s="9"/>
      <c r="H174" s="11">
        <v>1</v>
      </c>
      <c r="I174" s="18">
        <v>450000</v>
      </c>
      <c r="J174" s="85">
        <v>1</v>
      </c>
      <c r="K174" s="12">
        <f t="shared" si="26"/>
        <v>450000</v>
      </c>
      <c r="L174" s="84"/>
      <c r="N174" s="19">
        <v>450000</v>
      </c>
      <c r="O174" s="7"/>
    </row>
    <row r="175" spans="1:15" s="6" customFormat="1" x14ac:dyDescent="0.25">
      <c r="A175" s="9"/>
      <c r="B175" s="17" t="s">
        <v>172</v>
      </c>
      <c r="C175" s="9"/>
      <c r="D175" s="9"/>
      <c r="E175" s="9" t="s">
        <v>14</v>
      </c>
      <c r="F175" s="9"/>
      <c r="G175" s="9"/>
      <c r="H175" s="11">
        <v>40</v>
      </c>
      <c r="I175" s="18">
        <v>6000</v>
      </c>
      <c r="J175" s="85">
        <v>1</v>
      </c>
      <c r="K175" s="12">
        <f t="shared" si="26"/>
        <v>240000</v>
      </c>
      <c r="L175" s="84"/>
      <c r="N175" s="8">
        <f t="shared" ref="N175:N187" si="33">+I175</f>
        <v>6000</v>
      </c>
      <c r="O175" s="7" t="s">
        <v>804</v>
      </c>
    </row>
    <row r="176" spans="1:15" s="6" customFormat="1" x14ac:dyDescent="0.25">
      <c r="A176" s="9"/>
      <c r="B176" s="17" t="s">
        <v>173</v>
      </c>
      <c r="C176" s="9"/>
      <c r="D176" s="9"/>
      <c r="E176" s="9" t="s">
        <v>10</v>
      </c>
      <c r="F176" s="9"/>
      <c r="G176" s="9" t="s">
        <v>174</v>
      </c>
      <c r="H176" s="11">
        <f>4.3*0.8</f>
        <v>3.44</v>
      </c>
      <c r="I176" s="18">
        <v>181000</v>
      </c>
      <c r="J176" s="85">
        <v>1</v>
      </c>
      <c r="K176" s="12">
        <f t="shared" si="26"/>
        <v>622640</v>
      </c>
      <c r="L176" s="84"/>
      <c r="N176" s="8">
        <f t="shared" si="33"/>
        <v>181000</v>
      </c>
      <c r="O176" s="7"/>
    </row>
    <row r="177" spans="1:15" s="6" customFormat="1" x14ac:dyDescent="0.25">
      <c r="A177" s="9"/>
      <c r="B177" s="17" t="s">
        <v>175</v>
      </c>
      <c r="C177" s="9"/>
      <c r="D177" s="9"/>
      <c r="E177" s="9" t="s">
        <v>14</v>
      </c>
      <c r="F177" s="9" t="s">
        <v>26</v>
      </c>
      <c r="G177" s="9" t="s">
        <v>176</v>
      </c>
      <c r="H177" s="11">
        <f>2*20</f>
        <v>40</v>
      </c>
      <c r="I177" s="18">
        <v>46000</v>
      </c>
      <c r="J177" s="85">
        <v>1</v>
      </c>
      <c r="K177" s="12">
        <f t="shared" si="26"/>
        <v>1840000</v>
      </c>
      <c r="L177" s="84"/>
      <c r="N177" s="8">
        <f t="shared" si="33"/>
        <v>46000</v>
      </c>
      <c r="O177" s="7"/>
    </row>
    <row r="178" spans="1:15" s="6" customFormat="1" x14ac:dyDescent="0.25">
      <c r="A178" s="9"/>
      <c r="B178" s="17" t="s">
        <v>177</v>
      </c>
      <c r="C178" s="9"/>
      <c r="D178" s="9"/>
      <c r="E178" s="9" t="s">
        <v>15</v>
      </c>
      <c r="F178" s="9"/>
      <c r="G178" s="21" t="s">
        <v>178</v>
      </c>
      <c r="H178" s="88">
        <f>2*(2.5+2.8)*1.5*0.22</f>
        <v>3.4979999999999998</v>
      </c>
      <c r="I178" s="18">
        <v>1714000</v>
      </c>
      <c r="J178" s="85">
        <v>1</v>
      </c>
      <c r="K178" s="12">
        <f>H178*I178</f>
        <v>5995572</v>
      </c>
      <c r="L178" s="84"/>
      <c r="N178" s="8">
        <f t="shared" si="33"/>
        <v>1714000</v>
      </c>
      <c r="O178" s="7"/>
    </row>
    <row r="179" spans="1:15" s="167" customFormat="1" x14ac:dyDescent="0.25">
      <c r="A179" s="161"/>
      <c r="B179" s="162" t="s">
        <v>24</v>
      </c>
      <c r="C179" s="161"/>
      <c r="D179" s="161"/>
      <c r="E179" s="161" t="s">
        <v>36</v>
      </c>
      <c r="F179" s="161" t="s">
        <v>19</v>
      </c>
      <c r="G179" s="173"/>
      <c r="H179" s="174">
        <v>10</v>
      </c>
      <c r="I179" s="164">
        <v>12000</v>
      </c>
      <c r="J179" s="165">
        <v>1</v>
      </c>
      <c r="K179" s="171">
        <f>H179*I179</f>
        <v>120000</v>
      </c>
      <c r="L179" s="166"/>
      <c r="N179" s="168">
        <f t="shared" si="33"/>
        <v>12000</v>
      </c>
      <c r="O179" s="169"/>
    </row>
    <row r="180" spans="1:15" s="6" customFormat="1" x14ac:dyDescent="0.25">
      <c r="A180" s="9"/>
      <c r="B180" s="17" t="s">
        <v>54</v>
      </c>
      <c r="C180" s="9"/>
      <c r="D180" s="9"/>
      <c r="E180" s="9" t="s">
        <v>10</v>
      </c>
      <c r="F180" s="9"/>
      <c r="G180" s="21" t="s">
        <v>179</v>
      </c>
      <c r="H180" s="22">
        <f>5*0.5</f>
        <v>2.5</v>
      </c>
      <c r="I180" s="18">
        <v>425000</v>
      </c>
      <c r="J180" s="85">
        <v>1</v>
      </c>
      <c r="K180" s="12">
        <f>H180*I180</f>
        <v>1062500</v>
      </c>
      <c r="L180" s="84"/>
      <c r="N180" s="8">
        <f t="shared" si="33"/>
        <v>425000</v>
      </c>
      <c r="O180" s="7"/>
    </row>
    <row r="181" spans="1:15" s="6" customFormat="1" x14ac:dyDescent="0.25">
      <c r="A181" s="9"/>
      <c r="B181" s="17" t="s">
        <v>203</v>
      </c>
      <c r="C181" s="9"/>
      <c r="D181" s="9"/>
      <c r="E181" s="9" t="s">
        <v>10</v>
      </c>
      <c r="F181" s="9"/>
      <c r="G181" s="21" t="s">
        <v>204</v>
      </c>
      <c r="H181" s="22">
        <f>1.6*1.7</f>
        <v>2.72</v>
      </c>
      <c r="I181" s="18">
        <v>1435000</v>
      </c>
      <c r="J181" s="85">
        <v>1</v>
      </c>
      <c r="K181" s="12">
        <f>H181*I181</f>
        <v>3903200.0000000005</v>
      </c>
      <c r="L181" s="84"/>
      <c r="N181" s="8">
        <f t="shared" si="33"/>
        <v>1435000</v>
      </c>
      <c r="O181" s="7"/>
    </row>
    <row r="182" spans="1:15" s="6" customFormat="1" ht="19.5" customHeight="1" x14ac:dyDescent="0.25">
      <c r="A182" s="9"/>
      <c r="B182" s="20" t="s">
        <v>206</v>
      </c>
      <c r="C182" s="9"/>
      <c r="D182" s="9"/>
      <c r="E182" s="9" t="s">
        <v>15</v>
      </c>
      <c r="F182" s="9"/>
      <c r="G182" s="21" t="s">
        <v>205</v>
      </c>
      <c r="H182" s="22">
        <f>2*(2+3.7)*1.3*0.22</f>
        <v>3.2604000000000002</v>
      </c>
      <c r="I182" s="18">
        <v>1145000</v>
      </c>
      <c r="J182" s="85">
        <v>1</v>
      </c>
      <c r="K182" s="12">
        <f>H182*I182</f>
        <v>3733158</v>
      </c>
      <c r="L182" s="84"/>
      <c r="N182" s="8">
        <f t="shared" si="33"/>
        <v>1145000</v>
      </c>
      <c r="O182" s="7"/>
    </row>
    <row r="183" spans="1:15" s="6" customFormat="1" ht="31.5" x14ac:dyDescent="0.25">
      <c r="A183" s="9"/>
      <c r="B183" s="20" t="s">
        <v>207</v>
      </c>
      <c r="C183" s="9"/>
      <c r="D183" s="9"/>
      <c r="E183" s="9" t="s">
        <v>15</v>
      </c>
      <c r="F183" s="21" t="s">
        <v>208</v>
      </c>
      <c r="G183" s="21" t="s">
        <v>209</v>
      </c>
      <c r="H183" s="88">
        <f>0.5*0.5*3.14*8</f>
        <v>6.28</v>
      </c>
      <c r="I183" s="18">
        <f>236000</f>
        <v>236000</v>
      </c>
      <c r="J183" s="85">
        <v>1</v>
      </c>
      <c r="K183" s="18">
        <f t="shared" ref="K183:K186" si="34">H183*I183</f>
        <v>1482080</v>
      </c>
      <c r="L183" s="84"/>
      <c r="N183" s="8">
        <f t="shared" si="33"/>
        <v>236000</v>
      </c>
      <c r="O183" s="7"/>
    </row>
    <row r="184" spans="1:15" s="6" customFormat="1" ht="31.5" x14ac:dyDescent="0.25">
      <c r="A184" s="9"/>
      <c r="B184" s="20" t="s">
        <v>210</v>
      </c>
      <c r="C184" s="9"/>
      <c r="D184" s="9"/>
      <c r="E184" s="9" t="s">
        <v>15</v>
      </c>
      <c r="F184" s="21" t="s">
        <v>208</v>
      </c>
      <c r="G184" s="21" t="s">
        <v>211</v>
      </c>
      <c r="H184" s="88">
        <f>0.5*0.5*3.14*2</f>
        <v>1.57</v>
      </c>
      <c r="I184" s="18">
        <f>236000+30000</f>
        <v>266000</v>
      </c>
      <c r="J184" s="85">
        <v>1</v>
      </c>
      <c r="K184" s="18">
        <f t="shared" si="34"/>
        <v>417620</v>
      </c>
      <c r="L184" s="84"/>
      <c r="N184" s="8">
        <f t="shared" si="33"/>
        <v>266000</v>
      </c>
      <c r="O184" s="7"/>
    </row>
    <row r="185" spans="1:15" s="6" customFormat="1" ht="31.5" x14ac:dyDescent="0.25">
      <c r="A185" s="9"/>
      <c r="B185" s="20" t="s">
        <v>212</v>
      </c>
      <c r="C185" s="9"/>
      <c r="D185" s="9"/>
      <c r="E185" s="9" t="s">
        <v>15</v>
      </c>
      <c r="F185" s="21" t="s">
        <v>208</v>
      </c>
      <c r="G185" s="21" t="s">
        <v>213</v>
      </c>
      <c r="H185" s="88">
        <f>0.5*0.5*3.14*1</f>
        <v>0.78500000000000003</v>
      </c>
      <c r="I185" s="18">
        <f>236000+50000</f>
        <v>286000</v>
      </c>
      <c r="J185" s="85">
        <v>1</v>
      </c>
      <c r="K185" s="18">
        <f t="shared" si="34"/>
        <v>224510</v>
      </c>
      <c r="L185" s="84"/>
      <c r="N185" s="8">
        <f t="shared" si="33"/>
        <v>286000</v>
      </c>
      <c r="O185" s="7"/>
    </row>
    <row r="186" spans="1:15" s="6" customFormat="1" ht="31.5" x14ac:dyDescent="0.25">
      <c r="A186" s="9"/>
      <c r="B186" s="20" t="s">
        <v>59</v>
      </c>
      <c r="C186" s="9"/>
      <c r="D186" s="9"/>
      <c r="E186" s="9" t="s">
        <v>15</v>
      </c>
      <c r="F186" s="9"/>
      <c r="G186" s="21" t="s">
        <v>214</v>
      </c>
      <c r="H186" s="88">
        <f>0.5*0.5*3.14*11-0.3*0.3*3.14*11</f>
        <v>5.5263999999999998</v>
      </c>
      <c r="I186" s="18">
        <v>1186000</v>
      </c>
      <c r="J186" s="85">
        <v>1</v>
      </c>
      <c r="K186" s="18">
        <f t="shared" si="34"/>
        <v>6554310.3999999994</v>
      </c>
      <c r="L186" s="84"/>
      <c r="N186" s="8">
        <f t="shared" si="33"/>
        <v>1186000</v>
      </c>
      <c r="O186" s="7"/>
    </row>
    <row r="187" spans="1:15" s="191" customFormat="1" x14ac:dyDescent="0.25">
      <c r="A187" s="185"/>
      <c r="B187" s="186" t="s">
        <v>803</v>
      </c>
      <c r="C187" s="185"/>
      <c r="D187" s="185"/>
      <c r="E187" s="185" t="s">
        <v>47</v>
      </c>
      <c r="F187" s="185"/>
      <c r="G187" s="185"/>
      <c r="H187" s="187">
        <v>6</v>
      </c>
      <c r="I187" s="188">
        <v>2000000</v>
      </c>
      <c r="J187" s="189">
        <v>1</v>
      </c>
      <c r="K187" s="188">
        <f t="shared" ref="K187:K188" si="35">H187*I187</f>
        <v>12000000</v>
      </c>
      <c r="L187" s="190"/>
      <c r="N187" s="192">
        <f t="shared" si="33"/>
        <v>2000000</v>
      </c>
      <c r="O187" s="193"/>
    </row>
    <row r="188" spans="1:15" s="191" customFormat="1" x14ac:dyDescent="0.25">
      <c r="A188" s="185"/>
      <c r="B188" s="186" t="s">
        <v>48</v>
      </c>
      <c r="C188" s="194"/>
      <c r="D188" s="185"/>
      <c r="E188" s="185" t="s">
        <v>49</v>
      </c>
      <c r="F188" s="185"/>
      <c r="G188" s="185"/>
      <c r="H188" s="187">
        <v>1</v>
      </c>
      <c r="I188" s="188">
        <v>5000000</v>
      </c>
      <c r="J188" s="189">
        <v>1</v>
      </c>
      <c r="K188" s="188">
        <f t="shared" si="35"/>
        <v>5000000</v>
      </c>
      <c r="L188" s="190"/>
      <c r="N188" s="192">
        <f>+I188</f>
        <v>5000000</v>
      </c>
      <c r="O188" s="193"/>
    </row>
    <row r="189" spans="1:15" s="6" customFormat="1" x14ac:dyDescent="0.25">
      <c r="A189" s="9"/>
      <c r="B189" s="20" t="s">
        <v>225</v>
      </c>
      <c r="C189" s="9"/>
      <c r="D189" s="9"/>
      <c r="E189" s="9" t="s">
        <v>15</v>
      </c>
      <c r="F189" s="9" t="s">
        <v>43</v>
      </c>
      <c r="G189" s="9" t="s">
        <v>180</v>
      </c>
      <c r="H189" s="11">
        <f>2.5*2.8*2*0.1</f>
        <v>1.4000000000000001</v>
      </c>
      <c r="I189" s="18">
        <v>3341000</v>
      </c>
      <c r="J189" s="85">
        <v>1</v>
      </c>
      <c r="K189" s="12">
        <f>H189*I189</f>
        <v>4677400</v>
      </c>
      <c r="L189" s="84"/>
      <c r="N189" s="8">
        <f>+I189</f>
        <v>3341000</v>
      </c>
      <c r="O189" s="7" t="s">
        <v>804</v>
      </c>
    </row>
    <row r="190" spans="1:15" s="6" customFormat="1" x14ac:dyDescent="0.25">
      <c r="A190" s="13">
        <v>9</v>
      </c>
      <c r="B190" s="14" t="s">
        <v>227</v>
      </c>
      <c r="C190" s="13">
        <v>54</v>
      </c>
      <c r="D190" s="13">
        <v>2</v>
      </c>
      <c r="E190" s="13"/>
      <c r="F190" s="13"/>
      <c r="G190" s="13"/>
      <c r="H190" s="15"/>
      <c r="I190" s="16"/>
      <c r="J190" s="39"/>
      <c r="K190" s="16">
        <f>K191</f>
        <v>259560000</v>
      </c>
      <c r="L190" s="84"/>
      <c r="N190" s="7"/>
      <c r="O190" s="7"/>
    </row>
    <row r="191" spans="1:15" s="139" customFormat="1" x14ac:dyDescent="0.25">
      <c r="A191" s="134"/>
      <c r="B191" s="134" t="s">
        <v>9</v>
      </c>
      <c r="C191" s="133"/>
      <c r="D191" s="133"/>
      <c r="E191" s="133" t="s">
        <v>10</v>
      </c>
      <c r="F191" s="133"/>
      <c r="G191" s="133"/>
      <c r="H191" s="135">
        <v>61.8</v>
      </c>
      <c r="I191" s="136">
        <v>4200000</v>
      </c>
      <c r="J191" s="137">
        <v>1</v>
      </c>
      <c r="K191" s="136">
        <f>H191*I191</f>
        <v>259560000</v>
      </c>
      <c r="L191" s="138"/>
      <c r="M191" s="6"/>
      <c r="N191" s="8">
        <f>+I191</f>
        <v>4200000</v>
      </c>
      <c r="O191" s="7"/>
    </row>
    <row r="192" spans="1:15" s="6" customFormat="1" x14ac:dyDescent="0.25">
      <c r="A192" s="13">
        <v>10</v>
      </c>
      <c r="B192" s="14" t="s">
        <v>228</v>
      </c>
      <c r="C192" s="13">
        <v>148</v>
      </c>
      <c r="D192" s="13">
        <v>2</v>
      </c>
      <c r="E192" s="122" t="s">
        <v>229</v>
      </c>
      <c r="F192" s="122"/>
      <c r="G192" s="122"/>
      <c r="H192" s="122"/>
      <c r="I192" s="122"/>
      <c r="J192" s="92"/>
      <c r="K192" s="89">
        <f>SUM(K193:K220)</f>
        <v>279095139.79999995</v>
      </c>
      <c r="L192" s="84"/>
      <c r="N192" s="7"/>
      <c r="O192" s="7"/>
    </row>
    <row r="193" spans="1:15" s="139" customFormat="1" x14ac:dyDescent="0.25">
      <c r="A193" s="133"/>
      <c r="B193" s="134" t="s">
        <v>9</v>
      </c>
      <c r="C193" s="133"/>
      <c r="D193" s="133"/>
      <c r="E193" s="133" t="s">
        <v>10</v>
      </c>
      <c r="F193" s="133"/>
      <c r="G193" s="133"/>
      <c r="H193" s="135">
        <v>23.5</v>
      </c>
      <c r="I193" s="141">
        <v>7000000</v>
      </c>
      <c r="J193" s="137">
        <v>1</v>
      </c>
      <c r="K193" s="141">
        <f>H193*I193</f>
        <v>164500000</v>
      </c>
      <c r="L193" s="138"/>
      <c r="M193" s="6"/>
      <c r="N193" s="8">
        <f t="shared" ref="N193:N212" si="36">+I193</f>
        <v>7000000</v>
      </c>
      <c r="O193" s="7"/>
    </row>
    <row r="194" spans="1:15" s="6" customFormat="1" x14ac:dyDescent="0.25">
      <c r="A194" s="9"/>
      <c r="B194" s="17" t="s">
        <v>230</v>
      </c>
      <c r="C194" s="9"/>
      <c r="D194" s="9"/>
      <c r="E194" s="9" t="s">
        <v>10</v>
      </c>
      <c r="F194" s="9"/>
      <c r="G194" s="9" t="s">
        <v>231</v>
      </c>
      <c r="H194" s="24">
        <f>4.17*12.9</f>
        <v>53.792999999999999</v>
      </c>
      <c r="I194" s="12">
        <v>77000</v>
      </c>
      <c r="J194" s="85">
        <v>1</v>
      </c>
      <c r="K194" s="12">
        <f t="shared" ref="K194:K198" si="37">I194*H194</f>
        <v>4142061</v>
      </c>
      <c r="L194" s="84"/>
      <c r="N194" s="8">
        <f t="shared" si="36"/>
        <v>77000</v>
      </c>
      <c r="O194" s="7"/>
    </row>
    <row r="195" spans="1:15" s="6" customFormat="1" x14ac:dyDescent="0.25">
      <c r="A195" s="9"/>
      <c r="B195" s="20" t="s">
        <v>232</v>
      </c>
      <c r="C195" s="9"/>
      <c r="D195" s="9"/>
      <c r="E195" s="9" t="s">
        <v>15</v>
      </c>
      <c r="F195" s="9" t="s">
        <v>43</v>
      </c>
      <c r="G195" s="9" t="s">
        <v>233</v>
      </c>
      <c r="H195" s="24">
        <f>1.3*3.5*0.3</f>
        <v>1.365</v>
      </c>
      <c r="I195" s="12">
        <v>4282000</v>
      </c>
      <c r="J195" s="85">
        <v>1</v>
      </c>
      <c r="K195" s="12">
        <f t="shared" si="37"/>
        <v>5844930</v>
      </c>
      <c r="L195" s="84"/>
      <c r="N195" s="8">
        <f t="shared" si="36"/>
        <v>4282000</v>
      </c>
      <c r="O195" s="7" t="s">
        <v>804</v>
      </c>
    </row>
    <row r="196" spans="1:15" s="6" customFormat="1" x14ac:dyDescent="0.25">
      <c r="A196" s="9"/>
      <c r="B196" s="17" t="s">
        <v>38</v>
      </c>
      <c r="C196" s="9"/>
      <c r="D196" s="9"/>
      <c r="E196" s="9" t="s">
        <v>10</v>
      </c>
      <c r="F196" s="9"/>
      <c r="G196" s="9" t="s">
        <v>234</v>
      </c>
      <c r="H196" s="24">
        <f>1.8*2.3</f>
        <v>4.1399999999999997</v>
      </c>
      <c r="I196" s="12">
        <v>459000</v>
      </c>
      <c r="J196" s="85">
        <v>1</v>
      </c>
      <c r="K196" s="12">
        <f t="shared" si="37"/>
        <v>1900259.9999999998</v>
      </c>
      <c r="L196" s="84"/>
      <c r="N196" s="8">
        <f t="shared" si="36"/>
        <v>459000</v>
      </c>
      <c r="O196" s="7"/>
    </row>
    <row r="197" spans="1:15" s="6" customFormat="1" x14ac:dyDescent="0.25">
      <c r="A197" s="9"/>
      <c r="B197" s="17" t="s">
        <v>54</v>
      </c>
      <c r="C197" s="9"/>
      <c r="D197" s="9"/>
      <c r="E197" s="9" t="s">
        <v>10</v>
      </c>
      <c r="F197" s="9"/>
      <c r="G197" s="9" t="s">
        <v>235</v>
      </c>
      <c r="H197" s="24">
        <f>1.7*2.9</f>
        <v>4.93</v>
      </c>
      <c r="I197" s="12">
        <v>425000</v>
      </c>
      <c r="J197" s="85">
        <v>1</v>
      </c>
      <c r="K197" s="12">
        <f t="shared" si="37"/>
        <v>2095249.9999999998</v>
      </c>
      <c r="L197" s="84"/>
      <c r="N197" s="8">
        <f t="shared" si="36"/>
        <v>425000</v>
      </c>
      <c r="O197" s="7"/>
    </row>
    <row r="198" spans="1:15" s="6" customFormat="1" ht="55.5" customHeight="1" x14ac:dyDescent="0.25">
      <c r="A198" s="9"/>
      <c r="B198" s="20" t="s">
        <v>236</v>
      </c>
      <c r="C198" s="9"/>
      <c r="D198" s="9"/>
      <c r="E198" s="9" t="s">
        <v>10</v>
      </c>
      <c r="F198" s="9"/>
      <c r="G198" s="9" t="s">
        <v>237</v>
      </c>
      <c r="H198" s="24">
        <f>(3.5*3.1)*2</f>
        <v>21.7</v>
      </c>
      <c r="I198" s="12">
        <f>1313000-70000</f>
        <v>1243000</v>
      </c>
      <c r="J198" s="85">
        <v>1</v>
      </c>
      <c r="K198" s="12">
        <f t="shared" si="37"/>
        <v>26973100</v>
      </c>
      <c r="L198" s="84"/>
      <c r="N198" s="8">
        <f t="shared" si="36"/>
        <v>1243000</v>
      </c>
      <c r="O198" s="7"/>
    </row>
    <row r="199" spans="1:15" s="6" customFormat="1" ht="31.5" x14ac:dyDescent="0.25">
      <c r="A199" s="9"/>
      <c r="B199" s="87" t="s">
        <v>238</v>
      </c>
      <c r="C199" s="9"/>
      <c r="D199" s="9"/>
      <c r="E199" s="9" t="s">
        <v>10</v>
      </c>
      <c r="F199" s="9"/>
      <c r="G199" s="21" t="s">
        <v>239</v>
      </c>
      <c r="H199" s="22">
        <f>(3*2.7)*2</f>
        <v>16.200000000000003</v>
      </c>
      <c r="I199" s="12">
        <v>162000</v>
      </c>
      <c r="J199" s="85">
        <v>1</v>
      </c>
      <c r="K199" s="12">
        <f t="shared" ref="K199:K200" si="38">H199*I199</f>
        <v>2624400.0000000005</v>
      </c>
      <c r="L199" s="84"/>
      <c r="N199" s="8">
        <f t="shared" si="36"/>
        <v>162000</v>
      </c>
      <c r="O199" s="7"/>
    </row>
    <row r="200" spans="1:15" s="6" customFormat="1" x14ac:dyDescent="0.25">
      <c r="A200" s="9"/>
      <c r="B200" s="87" t="s">
        <v>45</v>
      </c>
      <c r="C200" s="9"/>
      <c r="D200" s="9"/>
      <c r="E200" s="9" t="s">
        <v>10</v>
      </c>
      <c r="F200" s="9"/>
      <c r="G200" s="21" t="s">
        <v>239</v>
      </c>
      <c r="H200" s="22">
        <f>-(3*2.7)*2</f>
        <v>-16.200000000000003</v>
      </c>
      <c r="I200" s="12">
        <v>102000</v>
      </c>
      <c r="J200" s="85">
        <v>1</v>
      </c>
      <c r="K200" s="12">
        <f t="shared" si="38"/>
        <v>-1652400.0000000002</v>
      </c>
      <c r="L200" s="84"/>
      <c r="N200" s="8">
        <f t="shared" si="36"/>
        <v>102000</v>
      </c>
      <c r="O200" s="7"/>
    </row>
    <row r="201" spans="1:15" s="6" customFormat="1" ht="47.25" x14ac:dyDescent="0.25">
      <c r="A201" s="9"/>
      <c r="B201" s="20" t="s">
        <v>240</v>
      </c>
      <c r="C201" s="9"/>
      <c r="D201" s="9"/>
      <c r="E201" s="9" t="s">
        <v>10</v>
      </c>
      <c r="F201" s="9"/>
      <c r="G201" s="9" t="s">
        <v>241</v>
      </c>
      <c r="H201" s="24">
        <f>(3.5*3.1)*2</f>
        <v>21.7</v>
      </c>
      <c r="I201" s="12">
        <f>1313000-38000</f>
        <v>1275000</v>
      </c>
      <c r="J201" s="85">
        <v>1</v>
      </c>
      <c r="K201" s="12">
        <f t="shared" ref="K201" si="39">I201*H201</f>
        <v>27667500</v>
      </c>
      <c r="L201" s="84"/>
      <c r="N201" s="8">
        <f t="shared" si="36"/>
        <v>1275000</v>
      </c>
      <c r="O201" s="7"/>
    </row>
    <row r="202" spans="1:15" s="6" customFormat="1" ht="31.5" x14ac:dyDescent="0.25">
      <c r="A202" s="9"/>
      <c r="B202" s="87" t="s">
        <v>238</v>
      </c>
      <c r="C202" s="9"/>
      <c r="D202" s="9"/>
      <c r="E202" s="9" t="s">
        <v>10</v>
      </c>
      <c r="F202" s="9"/>
      <c r="G202" s="21" t="s">
        <v>242</v>
      </c>
      <c r="H202" s="22">
        <f>(3*2.7)</f>
        <v>8.1000000000000014</v>
      </c>
      <c r="I202" s="12">
        <v>162000</v>
      </c>
      <c r="J202" s="85">
        <v>1</v>
      </c>
      <c r="K202" s="12">
        <f t="shared" ref="K202:K217" si="40">H202*I202</f>
        <v>1312200.0000000002</v>
      </c>
      <c r="L202" s="84"/>
      <c r="N202" s="8">
        <f t="shared" si="36"/>
        <v>162000</v>
      </c>
      <c r="O202" s="7"/>
    </row>
    <row r="203" spans="1:15" s="6" customFormat="1" x14ac:dyDescent="0.25">
      <c r="A203" s="9"/>
      <c r="B203" s="87" t="s">
        <v>45</v>
      </c>
      <c r="C203" s="9"/>
      <c r="D203" s="9"/>
      <c r="E203" s="9" t="s">
        <v>10</v>
      </c>
      <c r="F203" s="9"/>
      <c r="G203" s="21" t="s">
        <v>242</v>
      </c>
      <c r="H203" s="22">
        <f>-(3*2.7)</f>
        <v>-8.1000000000000014</v>
      </c>
      <c r="I203" s="12">
        <v>102000</v>
      </c>
      <c r="J203" s="85">
        <v>1</v>
      </c>
      <c r="K203" s="12">
        <f t="shared" si="40"/>
        <v>-826200.00000000012</v>
      </c>
      <c r="L203" s="84"/>
      <c r="N203" s="8">
        <f t="shared" si="36"/>
        <v>102000</v>
      </c>
      <c r="O203" s="7"/>
    </row>
    <row r="204" spans="1:15" s="6" customFormat="1" ht="31.5" x14ac:dyDescent="0.25">
      <c r="A204" s="17"/>
      <c r="B204" s="20" t="s">
        <v>243</v>
      </c>
      <c r="C204" s="9"/>
      <c r="D204" s="9"/>
      <c r="E204" s="9" t="s">
        <v>14</v>
      </c>
      <c r="F204" s="9"/>
      <c r="G204" s="9"/>
      <c r="H204" s="11">
        <v>27</v>
      </c>
      <c r="I204" s="18">
        <v>46000</v>
      </c>
      <c r="J204" s="85">
        <v>1</v>
      </c>
      <c r="K204" s="18">
        <f t="shared" si="40"/>
        <v>1242000</v>
      </c>
      <c r="L204" s="84"/>
      <c r="N204" s="8">
        <f t="shared" si="36"/>
        <v>46000</v>
      </c>
      <c r="O204" s="7"/>
    </row>
    <row r="205" spans="1:15" s="6" customFormat="1" ht="47.25" x14ac:dyDescent="0.25">
      <c r="A205" s="9"/>
      <c r="B205" s="10" t="s">
        <v>244</v>
      </c>
      <c r="C205" s="9"/>
      <c r="D205" s="9"/>
      <c r="E205" s="9" t="s">
        <v>10</v>
      </c>
      <c r="F205" s="9"/>
      <c r="G205" s="21" t="s">
        <v>245</v>
      </c>
      <c r="H205" s="22">
        <f>2.2*4</f>
        <v>8.8000000000000007</v>
      </c>
      <c r="I205" s="12">
        <v>1565000</v>
      </c>
      <c r="J205" s="85">
        <v>1</v>
      </c>
      <c r="K205" s="18">
        <f t="shared" si="40"/>
        <v>13772000.000000002</v>
      </c>
      <c r="L205" s="84"/>
      <c r="N205" s="8">
        <f t="shared" si="36"/>
        <v>1565000</v>
      </c>
      <c r="O205" s="7"/>
    </row>
    <row r="206" spans="1:15" s="6" customFormat="1" x14ac:dyDescent="0.25">
      <c r="A206" s="9"/>
      <c r="B206" s="10" t="s">
        <v>246</v>
      </c>
      <c r="C206" s="9"/>
      <c r="D206" s="9"/>
      <c r="E206" s="9" t="s">
        <v>15</v>
      </c>
      <c r="F206" s="9"/>
      <c r="G206" s="21" t="s">
        <v>247</v>
      </c>
      <c r="H206" s="22">
        <f>2*(2.2+4)*2*0.22</f>
        <v>5.4560000000000004</v>
      </c>
      <c r="I206" s="12">
        <v>1714000</v>
      </c>
      <c r="J206" s="85">
        <v>1</v>
      </c>
      <c r="K206" s="18">
        <f t="shared" si="40"/>
        <v>9351584</v>
      </c>
      <c r="L206" s="84"/>
      <c r="N206" s="8">
        <f t="shared" si="36"/>
        <v>1714000</v>
      </c>
      <c r="O206" s="7"/>
    </row>
    <row r="207" spans="1:15" s="6" customFormat="1" ht="31.5" x14ac:dyDescent="0.25">
      <c r="A207" s="9"/>
      <c r="B207" s="10" t="s">
        <v>248</v>
      </c>
      <c r="C207" s="9"/>
      <c r="D207" s="9"/>
      <c r="E207" s="9" t="s">
        <v>15</v>
      </c>
      <c r="F207" s="9" t="s">
        <v>43</v>
      </c>
      <c r="G207" s="21" t="s">
        <v>249</v>
      </c>
      <c r="H207" s="22">
        <f>2.2*4*0.1</f>
        <v>0.88000000000000012</v>
      </c>
      <c r="I207" s="12">
        <v>3341000</v>
      </c>
      <c r="J207" s="85">
        <v>1</v>
      </c>
      <c r="K207" s="18">
        <f t="shared" si="40"/>
        <v>2940080.0000000005</v>
      </c>
      <c r="L207" s="84"/>
      <c r="N207" s="8">
        <f t="shared" si="36"/>
        <v>3341000</v>
      </c>
      <c r="O207" s="7" t="s">
        <v>804</v>
      </c>
    </row>
    <row r="208" spans="1:15" s="6" customFormat="1" ht="18" customHeight="1" x14ac:dyDescent="0.25">
      <c r="A208" s="9"/>
      <c r="B208" s="10" t="s">
        <v>250</v>
      </c>
      <c r="C208" s="9"/>
      <c r="D208" s="9"/>
      <c r="E208" s="9" t="s">
        <v>15</v>
      </c>
      <c r="F208" s="9" t="s">
        <v>251</v>
      </c>
      <c r="G208" s="21" t="s">
        <v>252</v>
      </c>
      <c r="H208" s="22">
        <f>2*(2.2+1.9)*2.1*0.22</f>
        <v>3.7883999999999998</v>
      </c>
      <c r="I208" s="12">
        <v>1521000</v>
      </c>
      <c r="J208" s="85">
        <v>1</v>
      </c>
      <c r="K208" s="18">
        <f t="shared" si="40"/>
        <v>5762156.3999999994</v>
      </c>
      <c r="L208" s="84"/>
      <c r="N208" s="8">
        <f t="shared" si="36"/>
        <v>1521000</v>
      </c>
      <c r="O208" s="7"/>
    </row>
    <row r="209" spans="1:15" s="6" customFormat="1" ht="31.5" x14ac:dyDescent="0.25">
      <c r="A209" s="9"/>
      <c r="B209" s="10" t="s">
        <v>192</v>
      </c>
      <c r="C209" s="9"/>
      <c r="D209" s="9"/>
      <c r="E209" s="9" t="s">
        <v>15</v>
      </c>
      <c r="F209" s="9" t="s">
        <v>43</v>
      </c>
      <c r="G209" s="21" t="s">
        <v>253</v>
      </c>
      <c r="H209" s="22">
        <f>2.2*1.9*0.1</f>
        <v>0.41799999999999998</v>
      </c>
      <c r="I209" s="12">
        <v>3341000</v>
      </c>
      <c r="J209" s="85">
        <v>1</v>
      </c>
      <c r="K209" s="18">
        <f t="shared" si="40"/>
        <v>1396538</v>
      </c>
      <c r="L209" s="84"/>
      <c r="N209" s="8">
        <f t="shared" si="36"/>
        <v>3341000</v>
      </c>
      <c r="O209" s="7" t="s">
        <v>804</v>
      </c>
    </row>
    <row r="210" spans="1:15" s="6" customFormat="1" x14ac:dyDescent="0.25">
      <c r="A210" s="9"/>
      <c r="B210" s="10" t="s">
        <v>254</v>
      </c>
      <c r="C210" s="9"/>
      <c r="D210" s="9"/>
      <c r="E210" s="9" t="s">
        <v>15</v>
      </c>
      <c r="F210" s="9" t="s">
        <v>168</v>
      </c>
      <c r="G210" s="21" t="s">
        <v>255</v>
      </c>
      <c r="H210" s="22">
        <f>0.8*4*0.1</f>
        <v>0.32000000000000006</v>
      </c>
      <c r="I210" s="12">
        <v>763000</v>
      </c>
      <c r="J210" s="85">
        <v>1</v>
      </c>
      <c r="K210" s="18">
        <f t="shared" si="40"/>
        <v>244160.00000000006</v>
      </c>
      <c r="L210" s="84"/>
      <c r="N210" s="8">
        <f t="shared" si="36"/>
        <v>763000</v>
      </c>
      <c r="O210" s="7" t="s">
        <v>804</v>
      </c>
    </row>
    <row r="211" spans="1:15" s="6" customFormat="1" x14ac:dyDescent="0.25">
      <c r="A211" s="9"/>
      <c r="B211" s="10" t="s">
        <v>13</v>
      </c>
      <c r="C211" s="9"/>
      <c r="D211" s="9"/>
      <c r="E211" s="9" t="s">
        <v>16</v>
      </c>
      <c r="F211" s="9"/>
      <c r="G211" s="21"/>
      <c r="H211" s="22">
        <v>1</v>
      </c>
      <c r="I211" s="12">
        <v>350000</v>
      </c>
      <c r="J211" s="85">
        <v>1</v>
      </c>
      <c r="K211" s="18">
        <f t="shared" si="40"/>
        <v>350000</v>
      </c>
      <c r="L211" s="84"/>
      <c r="N211" s="8">
        <f t="shared" si="36"/>
        <v>350000</v>
      </c>
      <c r="O211" s="7"/>
    </row>
    <row r="212" spans="1:15" s="6" customFormat="1" x14ac:dyDescent="0.25">
      <c r="A212" s="9"/>
      <c r="B212" s="10" t="s">
        <v>256</v>
      </c>
      <c r="C212" s="9"/>
      <c r="D212" s="9"/>
      <c r="E212" s="9" t="s">
        <v>16</v>
      </c>
      <c r="F212" s="9"/>
      <c r="G212" s="21"/>
      <c r="H212" s="22">
        <v>1</v>
      </c>
      <c r="I212" s="12">
        <v>143000</v>
      </c>
      <c r="J212" s="85">
        <v>1</v>
      </c>
      <c r="K212" s="18">
        <f t="shared" si="40"/>
        <v>143000</v>
      </c>
      <c r="L212" s="84"/>
      <c r="N212" s="8">
        <f t="shared" si="36"/>
        <v>143000</v>
      </c>
      <c r="O212" s="7"/>
    </row>
    <row r="213" spans="1:15" s="6" customFormat="1" x14ac:dyDescent="0.25">
      <c r="A213" s="9"/>
      <c r="B213" s="10" t="s">
        <v>17</v>
      </c>
      <c r="C213" s="9"/>
      <c r="D213" s="9"/>
      <c r="E213" s="9" t="s">
        <v>16</v>
      </c>
      <c r="F213" s="9"/>
      <c r="G213" s="21"/>
      <c r="H213" s="22">
        <v>1</v>
      </c>
      <c r="I213" s="12">
        <v>450000</v>
      </c>
      <c r="J213" s="85">
        <v>1</v>
      </c>
      <c r="K213" s="18">
        <f t="shared" si="40"/>
        <v>450000</v>
      </c>
      <c r="L213" s="84"/>
      <c r="N213" s="19">
        <v>450000</v>
      </c>
      <c r="O213" s="7"/>
    </row>
    <row r="214" spans="1:15" s="6" customFormat="1" ht="49.5" x14ac:dyDescent="0.25">
      <c r="A214" s="93"/>
      <c r="B214" s="94" t="s">
        <v>207</v>
      </c>
      <c r="C214" s="93"/>
      <c r="D214" s="93"/>
      <c r="E214" s="93" t="s">
        <v>15</v>
      </c>
      <c r="F214" s="95" t="s">
        <v>208</v>
      </c>
      <c r="G214" s="95" t="s">
        <v>209</v>
      </c>
      <c r="H214" s="96">
        <f>0.5*0.5*3.14*8</f>
        <v>6.28</v>
      </c>
      <c r="I214" s="97">
        <f>236000</f>
        <v>236000</v>
      </c>
      <c r="J214" s="85">
        <v>1</v>
      </c>
      <c r="K214" s="97">
        <f t="shared" si="40"/>
        <v>1482080</v>
      </c>
      <c r="L214" s="84"/>
      <c r="N214" s="8">
        <f t="shared" ref="N214:N220" si="41">+I214</f>
        <v>236000</v>
      </c>
      <c r="O214" s="7"/>
    </row>
    <row r="215" spans="1:15" s="6" customFormat="1" ht="49.5" x14ac:dyDescent="0.25">
      <c r="A215" s="93"/>
      <c r="B215" s="94" t="s">
        <v>210</v>
      </c>
      <c r="C215" s="93"/>
      <c r="D215" s="93"/>
      <c r="E215" s="93" t="s">
        <v>15</v>
      </c>
      <c r="F215" s="95" t="s">
        <v>208</v>
      </c>
      <c r="G215" s="95" t="s">
        <v>211</v>
      </c>
      <c r="H215" s="96">
        <f>0.5*0.5*3.14*2</f>
        <v>1.57</v>
      </c>
      <c r="I215" s="97">
        <f>236000+30000</f>
        <v>266000</v>
      </c>
      <c r="J215" s="85">
        <v>1</v>
      </c>
      <c r="K215" s="97">
        <f t="shared" si="40"/>
        <v>417620</v>
      </c>
      <c r="L215" s="84"/>
      <c r="N215" s="8">
        <f t="shared" si="41"/>
        <v>266000</v>
      </c>
      <c r="O215" s="7"/>
    </row>
    <row r="216" spans="1:15" s="6" customFormat="1" ht="49.5" x14ac:dyDescent="0.25">
      <c r="A216" s="93"/>
      <c r="B216" s="94" t="s">
        <v>212</v>
      </c>
      <c r="C216" s="93"/>
      <c r="D216" s="93"/>
      <c r="E216" s="93" t="s">
        <v>15</v>
      </c>
      <c r="F216" s="95" t="s">
        <v>208</v>
      </c>
      <c r="G216" s="95" t="s">
        <v>213</v>
      </c>
      <c r="H216" s="96">
        <f>0.5*0.5*3.14*1</f>
        <v>0.78500000000000003</v>
      </c>
      <c r="I216" s="97">
        <f>236000+50000</f>
        <v>286000</v>
      </c>
      <c r="J216" s="85">
        <v>1</v>
      </c>
      <c r="K216" s="97">
        <f t="shared" si="40"/>
        <v>224510</v>
      </c>
      <c r="L216" s="84"/>
      <c r="N216" s="8">
        <f t="shared" si="41"/>
        <v>286000</v>
      </c>
      <c r="O216" s="7"/>
    </row>
    <row r="217" spans="1:15" s="6" customFormat="1" ht="31.5" x14ac:dyDescent="0.25">
      <c r="A217" s="9"/>
      <c r="B217" s="20" t="s">
        <v>59</v>
      </c>
      <c r="C217" s="9"/>
      <c r="D217" s="9"/>
      <c r="E217" s="9" t="s">
        <v>15</v>
      </c>
      <c r="F217" s="9"/>
      <c r="G217" s="21" t="s">
        <v>214</v>
      </c>
      <c r="H217" s="88">
        <f>0.5*0.5*3.14*11-0.3*0.3*3.14*11</f>
        <v>5.5263999999999998</v>
      </c>
      <c r="I217" s="18">
        <v>1186000</v>
      </c>
      <c r="J217" s="85">
        <v>1</v>
      </c>
      <c r="K217" s="18">
        <f t="shared" si="40"/>
        <v>6554310.3999999994</v>
      </c>
      <c r="L217" s="84"/>
      <c r="N217" s="8">
        <f t="shared" si="41"/>
        <v>1186000</v>
      </c>
      <c r="O217" s="7"/>
    </row>
    <row r="218" spans="1:15" s="167" customFormat="1" x14ac:dyDescent="0.25">
      <c r="A218" s="161"/>
      <c r="B218" s="172" t="s">
        <v>257</v>
      </c>
      <c r="C218" s="161"/>
      <c r="D218" s="161"/>
      <c r="E218" s="161" t="s">
        <v>31</v>
      </c>
      <c r="F218" s="161" t="s">
        <v>27</v>
      </c>
      <c r="G218" s="173"/>
      <c r="H218" s="176">
        <v>1</v>
      </c>
      <c r="I218" s="171">
        <v>120000</v>
      </c>
      <c r="J218" s="165">
        <v>1</v>
      </c>
      <c r="K218" s="171">
        <f>H218*I218</f>
        <v>120000</v>
      </c>
      <c r="L218" s="166"/>
      <c r="N218" s="168">
        <f t="shared" si="41"/>
        <v>120000</v>
      </c>
      <c r="O218" s="169"/>
    </row>
    <row r="219" spans="1:15" s="167" customFormat="1" x14ac:dyDescent="0.25">
      <c r="A219" s="161"/>
      <c r="B219" s="172" t="s">
        <v>258</v>
      </c>
      <c r="C219" s="161"/>
      <c r="D219" s="161"/>
      <c r="E219" s="161" t="s">
        <v>259</v>
      </c>
      <c r="F219" s="161" t="s">
        <v>19</v>
      </c>
      <c r="G219" s="173"/>
      <c r="H219" s="176">
        <v>1</v>
      </c>
      <c r="I219" s="171">
        <v>44000</v>
      </c>
      <c r="J219" s="165">
        <v>1</v>
      </c>
      <c r="K219" s="171">
        <f t="shared" ref="K219:K220" si="42">H219*I219</f>
        <v>44000</v>
      </c>
      <c r="L219" s="166"/>
      <c r="N219" s="168">
        <f t="shared" si="41"/>
        <v>44000</v>
      </c>
      <c r="O219" s="169"/>
    </row>
    <row r="220" spans="1:15" s="167" customFormat="1" x14ac:dyDescent="0.25">
      <c r="A220" s="161"/>
      <c r="B220" s="170" t="s">
        <v>260</v>
      </c>
      <c r="C220" s="161"/>
      <c r="D220" s="161"/>
      <c r="E220" s="161" t="s">
        <v>31</v>
      </c>
      <c r="F220" s="161" t="s">
        <v>261</v>
      </c>
      <c r="G220" s="161"/>
      <c r="H220" s="171">
        <v>1</v>
      </c>
      <c r="I220" s="171">
        <v>20000</v>
      </c>
      <c r="J220" s="165">
        <v>1</v>
      </c>
      <c r="K220" s="171">
        <f t="shared" si="42"/>
        <v>20000</v>
      </c>
      <c r="L220" s="166"/>
      <c r="N220" s="168">
        <f t="shared" si="41"/>
        <v>20000</v>
      </c>
      <c r="O220" s="169"/>
    </row>
    <row r="221" spans="1:15" s="6" customFormat="1" x14ac:dyDescent="0.25">
      <c r="A221" s="13">
        <v>11</v>
      </c>
      <c r="B221" s="14" t="s">
        <v>265</v>
      </c>
      <c r="C221" s="13">
        <v>136</v>
      </c>
      <c r="D221" s="13">
        <v>2</v>
      </c>
      <c r="E221" s="122" t="s">
        <v>266</v>
      </c>
      <c r="F221" s="122"/>
      <c r="G221" s="122"/>
      <c r="H221" s="122"/>
      <c r="I221" s="122"/>
      <c r="J221" s="92"/>
      <c r="K221" s="89">
        <f>SUM(K222:K246)</f>
        <v>1064966594.192</v>
      </c>
      <c r="L221" s="84"/>
      <c r="N221" s="7"/>
      <c r="O221" s="7"/>
    </row>
    <row r="222" spans="1:15" s="139" customFormat="1" x14ac:dyDescent="0.25">
      <c r="A222" s="133"/>
      <c r="B222" s="134" t="s">
        <v>9</v>
      </c>
      <c r="C222" s="133"/>
      <c r="D222" s="133"/>
      <c r="E222" s="133" t="s">
        <v>10</v>
      </c>
      <c r="F222" s="133"/>
      <c r="G222" s="133"/>
      <c r="H222" s="135">
        <f>102.6-18.1</f>
        <v>84.5</v>
      </c>
      <c r="I222" s="136">
        <v>8400000</v>
      </c>
      <c r="J222" s="137">
        <v>1</v>
      </c>
      <c r="K222" s="141">
        <f>H222*I222</f>
        <v>709800000</v>
      </c>
      <c r="L222" s="138"/>
      <c r="M222" s="6"/>
      <c r="N222" s="8">
        <f t="shared" ref="N222:N228" si="43">+I222</f>
        <v>8400000</v>
      </c>
      <c r="O222" s="7" t="s">
        <v>814</v>
      </c>
    </row>
    <row r="223" spans="1:15" s="139" customFormat="1" x14ac:dyDescent="0.25">
      <c r="A223" s="133"/>
      <c r="B223" s="134" t="s">
        <v>267</v>
      </c>
      <c r="C223" s="133"/>
      <c r="D223" s="133"/>
      <c r="E223" s="133"/>
      <c r="F223" s="133"/>
      <c r="G223" s="133"/>
      <c r="H223" s="135">
        <f>106.9-84.5-18.1</f>
        <v>4.3000000000000043</v>
      </c>
      <c r="I223" s="136">
        <v>8400000</v>
      </c>
      <c r="J223" s="137">
        <v>1</v>
      </c>
      <c r="K223" s="141">
        <f>H223*I223</f>
        <v>36120000.000000037</v>
      </c>
      <c r="L223" s="138"/>
      <c r="M223" s="6"/>
      <c r="N223" s="8">
        <f t="shared" si="43"/>
        <v>8400000</v>
      </c>
      <c r="O223" s="7" t="s">
        <v>814</v>
      </c>
    </row>
    <row r="224" spans="1:15" s="6" customFormat="1" ht="63" x14ac:dyDescent="0.25">
      <c r="A224" s="9"/>
      <c r="B224" s="20" t="s">
        <v>268</v>
      </c>
      <c r="C224" s="9"/>
      <c r="D224" s="9"/>
      <c r="E224" s="9" t="s">
        <v>10</v>
      </c>
      <c r="F224" s="9"/>
      <c r="G224" s="9" t="s">
        <v>269</v>
      </c>
      <c r="H224" s="11">
        <f>6.5*10.4</f>
        <v>67.600000000000009</v>
      </c>
      <c r="I224" s="18">
        <f>2901000-32000</f>
        <v>2869000</v>
      </c>
      <c r="J224" s="85">
        <v>1</v>
      </c>
      <c r="K224" s="12">
        <f>I224*H224</f>
        <v>193944400.00000003</v>
      </c>
      <c r="L224" s="84"/>
      <c r="N224" s="8">
        <f t="shared" si="43"/>
        <v>2869000</v>
      </c>
      <c r="O224" s="7"/>
    </row>
    <row r="225" spans="1:15" s="6" customFormat="1" ht="31.5" x14ac:dyDescent="0.25">
      <c r="A225" s="17"/>
      <c r="B225" s="87" t="s">
        <v>238</v>
      </c>
      <c r="C225" s="9"/>
      <c r="D225" s="9"/>
      <c r="E225" s="9" t="s">
        <v>10</v>
      </c>
      <c r="F225" s="9"/>
      <c r="G225" s="21" t="s">
        <v>270</v>
      </c>
      <c r="H225" s="88">
        <f>6*9.9</f>
        <v>59.400000000000006</v>
      </c>
      <c r="I225" s="12">
        <v>162000</v>
      </c>
      <c r="J225" s="85">
        <v>1</v>
      </c>
      <c r="K225" s="12">
        <f t="shared" ref="K225:K226" si="44">H225*I225</f>
        <v>9622800</v>
      </c>
      <c r="L225" s="84"/>
      <c r="N225" s="8">
        <f t="shared" si="43"/>
        <v>162000</v>
      </c>
      <c r="O225" s="7"/>
    </row>
    <row r="226" spans="1:15" s="6" customFormat="1" x14ac:dyDescent="0.25">
      <c r="A226" s="17"/>
      <c r="B226" s="87" t="s">
        <v>45</v>
      </c>
      <c r="C226" s="9"/>
      <c r="D226" s="9"/>
      <c r="E226" s="9" t="s">
        <v>10</v>
      </c>
      <c r="F226" s="9"/>
      <c r="G226" s="21" t="s">
        <v>270</v>
      </c>
      <c r="H226" s="88">
        <f>-6*9.9</f>
        <v>-59.400000000000006</v>
      </c>
      <c r="I226" s="12">
        <v>102000</v>
      </c>
      <c r="J226" s="85">
        <v>1</v>
      </c>
      <c r="K226" s="12">
        <f t="shared" si="44"/>
        <v>-6058800.0000000009</v>
      </c>
      <c r="L226" s="84"/>
      <c r="N226" s="8">
        <f t="shared" si="43"/>
        <v>102000</v>
      </c>
      <c r="O226" s="7"/>
    </row>
    <row r="227" spans="1:15" s="6" customFormat="1" x14ac:dyDescent="0.25">
      <c r="A227" s="9"/>
      <c r="B227" s="17" t="s">
        <v>271</v>
      </c>
      <c r="C227" s="9"/>
      <c r="D227" s="9"/>
      <c r="E227" s="9" t="s">
        <v>10</v>
      </c>
      <c r="F227" s="9"/>
      <c r="G227" s="9" t="s">
        <v>272</v>
      </c>
      <c r="H227" s="11">
        <f>(10*3.8)-(2.6*3.8)</f>
        <v>28.12</v>
      </c>
      <c r="I227" s="18">
        <v>131000</v>
      </c>
      <c r="J227" s="85">
        <v>1</v>
      </c>
      <c r="K227" s="12">
        <f t="shared" ref="K227:K246" si="45">I227*H227</f>
        <v>3683720</v>
      </c>
      <c r="L227" s="84"/>
      <c r="N227" s="8">
        <f t="shared" si="43"/>
        <v>131000</v>
      </c>
      <c r="O227" s="7"/>
    </row>
    <row r="228" spans="1:15" s="6" customFormat="1" x14ac:dyDescent="0.25">
      <c r="A228" s="9"/>
      <c r="B228" s="17" t="s">
        <v>21</v>
      </c>
      <c r="C228" s="9"/>
      <c r="D228" s="9"/>
      <c r="E228" s="9" t="s">
        <v>10</v>
      </c>
      <c r="F228" s="9"/>
      <c r="G228" s="9" t="s">
        <v>273</v>
      </c>
      <c r="H228" s="11">
        <f>2.6*4.9</f>
        <v>12.740000000000002</v>
      </c>
      <c r="I228" s="18">
        <v>153000</v>
      </c>
      <c r="J228" s="85">
        <v>1</v>
      </c>
      <c r="K228" s="12">
        <f t="shared" si="45"/>
        <v>1949220.0000000002</v>
      </c>
      <c r="L228" s="84"/>
      <c r="N228" s="8">
        <f t="shared" si="43"/>
        <v>153000</v>
      </c>
      <c r="O228" s="7"/>
    </row>
    <row r="229" spans="1:15" s="6" customFormat="1" ht="47.25" x14ac:dyDescent="0.25">
      <c r="A229" s="9"/>
      <c r="B229" s="20" t="s">
        <v>274</v>
      </c>
      <c r="C229" s="9"/>
      <c r="D229" s="9"/>
      <c r="E229" s="9" t="s">
        <v>10</v>
      </c>
      <c r="F229" s="9"/>
      <c r="G229" s="9" t="s">
        <v>275</v>
      </c>
      <c r="H229" s="11">
        <f>4.2*5.7</f>
        <v>23.94</v>
      </c>
      <c r="I229" s="18">
        <f>(2901000-32000*10)*93%</f>
        <v>2400330</v>
      </c>
      <c r="J229" s="85">
        <v>0.96</v>
      </c>
      <c r="K229" s="12">
        <f>I229*H229*J229</f>
        <v>55165344.192000002</v>
      </c>
      <c r="L229" s="84"/>
      <c r="N229" s="8">
        <f>(2901000-32000*10)*93%*96%</f>
        <v>2304316.7999999998</v>
      </c>
      <c r="O229" s="7"/>
    </row>
    <row r="230" spans="1:15" s="6" customFormat="1" x14ac:dyDescent="0.25">
      <c r="A230" s="17"/>
      <c r="B230" s="87" t="s">
        <v>56</v>
      </c>
      <c r="C230" s="9"/>
      <c r="D230" s="9"/>
      <c r="E230" s="9" t="s">
        <v>10</v>
      </c>
      <c r="F230" s="9"/>
      <c r="G230" s="21" t="s">
        <v>276</v>
      </c>
      <c r="H230" s="22">
        <f>3.8*5.3</f>
        <v>20.139999999999997</v>
      </c>
      <c r="I230" s="12">
        <v>77000</v>
      </c>
      <c r="J230" s="85">
        <v>1</v>
      </c>
      <c r="K230" s="12">
        <f t="shared" ref="K230:K231" si="46">H230*I230</f>
        <v>1550779.9999999998</v>
      </c>
      <c r="L230" s="84"/>
      <c r="N230" s="8">
        <f t="shared" ref="N230:N238" si="47">+I230</f>
        <v>77000</v>
      </c>
      <c r="O230" s="7"/>
    </row>
    <row r="231" spans="1:15" s="6" customFormat="1" x14ac:dyDescent="0.25">
      <c r="A231" s="17"/>
      <c r="B231" s="87" t="s">
        <v>45</v>
      </c>
      <c r="C231" s="9"/>
      <c r="D231" s="9"/>
      <c r="E231" s="9" t="s">
        <v>10</v>
      </c>
      <c r="F231" s="9"/>
      <c r="G231" s="21" t="s">
        <v>276</v>
      </c>
      <c r="H231" s="22">
        <f>-3.8*5.3</f>
        <v>-20.139999999999997</v>
      </c>
      <c r="I231" s="12">
        <v>102000</v>
      </c>
      <c r="J231" s="85">
        <v>1</v>
      </c>
      <c r="K231" s="12">
        <f t="shared" si="46"/>
        <v>-2054279.9999999998</v>
      </c>
      <c r="L231" s="84"/>
      <c r="N231" s="8">
        <f t="shared" si="47"/>
        <v>102000</v>
      </c>
      <c r="O231" s="7"/>
    </row>
    <row r="232" spans="1:15" s="6" customFormat="1" x14ac:dyDescent="0.25">
      <c r="A232" s="9"/>
      <c r="B232" s="17" t="s">
        <v>277</v>
      </c>
      <c r="C232" s="9"/>
      <c r="D232" s="9"/>
      <c r="E232" s="9"/>
      <c r="F232" s="9"/>
      <c r="G232" s="9" t="s">
        <v>278</v>
      </c>
      <c r="H232" s="11">
        <f>(6.8*1.7)+(1.5*1.7)</f>
        <v>14.11</v>
      </c>
      <c r="I232" s="18">
        <v>255000</v>
      </c>
      <c r="J232" s="85">
        <v>1</v>
      </c>
      <c r="K232" s="12">
        <f t="shared" si="45"/>
        <v>3598050</v>
      </c>
      <c r="L232" s="84"/>
      <c r="N232" s="8">
        <f t="shared" si="47"/>
        <v>255000</v>
      </c>
      <c r="O232" s="7"/>
    </row>
    <row r="233" spans="1:15" s="6" customFormat="1" ht="31.5" x14ac:dyDescent="0.25">
      <c r="A233" s="9"/>
      <c r="B233" s="20" t="s">
        <v>279</v>
      </c>
      <c r="C233" s="9"/>
      <c r="D233" s="9"/>
      <c r="E233" s="9" t="s">
        <v>10</v>
      </c>
      <c r="F233" s="9"/>
      <c r="G233" s="9" t="s">
        <v>280</v>
      </c>
      <c r="H233" s="11">
        <f>1.5*1.3</f>
        <v>1.9500000000000002</v>
      </c>
      <c r="I233" s="18">
        <v>1435000</v>
      </c>
      <c r="J233" s="85">
        <v>1</v>
      </c>
      <c r="K233" s="12">
        <f t="shared" si="45"/>
        <v>2798250.0000000005</v>
      </c>
      <c r="L233" s="84"/>
      <c r="N233" s="8">
        <f t="shared" si="47"/>
        <v>1435000</v>
      </c>
      <c r="O233" s="7"/>
    </row>
    <row r="234" spans="1:15" s="6" customFormat="1" x14ac:dyDescent="0.25">
      <c r="A234" s="9"/>
      <c r="B234" s="17" t="s">
        <v>281</v>
      </c>
      <c r="C234" s="9"/>
      <c r="D234" s="9"/>
      <c r="E234" s="9" t="s">
        <v>10</v>
      </c>
      <c r="F234" s="9"/>
      <c r="G234" s="9" t="s">
        <v>282</v>
      </c>
      <c r="H234" s="11">
        <f>2*5.7</f>
        <v>11.4</v>
      </c>
      <c r="I234" s="18">
        <v>181000</v>
      </c>
      <c r="J234" s="85">
        <v>1</v>
      </c>
      <c r="K234" s="12">
        <f t="shared" si="45"/>
        <v>2063400</v>
      </c>
      <c r="L234" s="84"/>
      <c r="N234" s="8">
        <f t="shared" si="47"/>
        <v>181000</v>
      </c>
      <c r="O234" s="7"/>
    </row>
    <row r="235" spans="1:15" s="6" customFormat="1" x14ac:dyDescent="0.25">
      <c r="A235" s="9"/>
      <c r="B235" s="17" t="s">
        <v>283</v>
      </c>
      <c r="C235" s="9"/>
      <c r="D235" s="9"/>
      <c r="E235" s="9" t="s">
        <v>10</v>
      </c>
      <c r="F235" s="9"/>
      <c r="G235" s="9" t="s">
        <v>284</v>
      </c>
      <c r="H235" s="11">
        <f>4.6*3</f>
        <v>13.799999999999999</v>
      </c>
      <c r="I235" s="18">
        <v>255000</v>
      </c>
      <c r="J235" s="85">
        <v>1</v>
      </c>
      <c r="K235" s="12">
        <f t="shared" si="45"/>
        <v>3518999.9999999995</v>
      </c>
      <c r="L235" s="84"/>
      <c r="N235" s="8">
        <f t="shared" si="47"/>
        <v>255000</v>
      </c>
      <c r="O235" s="7"/>
    </row>
    <row r="236" spans="1:15" s="6" customFormat="1" x14ac:dyDescent="0.25">
      <c r="A236" s="9"/>
      <c r="B236" s="17" t="s">
        <v>52</v>
      </c>
      <c r="C236" s="9"/>
      <c r="D236" s="9"/>
      <c r="E236" s="9" t="s">
        <v>10</v>
      </c>
      <c r="F236" s="9"/>
      <c r="G236" s="9" t="s">
        <v>285</v>
      </c>
      <c r="H236" s="24">
        <f>7.5*1+3.8*4.5+1.5*4</f>
        <v>30.599999999999998</v>
      </c>
      <c r="I236" s="18">
        <v>347000</v>
      </c>
      <c r="J236" s="85">
        <v>1</v>
      </c>
      <c r="K236" s="12">
        <f t="shared" si="45"/>
        <v>10618200</v>
      </c>
      <c r="L236" s="84"/>
      <c r="N236" s="8">
        <f t="shared" si="47"/>
        <v>347000</v>
      </c>
      <c r="O236" s="7"/>
    </row>
    <row r="237" spans="1:15" s="6" customFormat="1" x14ac:dyDescent="0.25">
      <c r="A237" s="17"/>
      <c r="B237" s="98" t="s">
        <v>12</v>
      </c>
      <c r="C237" s="9"/>
      <c r="D237" s="9"/>
      <c r="E237" s="9" t="s">
        <v>14</v>
      </c>
      <c r="F237" s="9" t="s">
        <v>286</v>
      </c>
      <c r="G237" s="9" t="s">
        <v>46</v>
      </c>
      <c r="H237" s="11">
        <v>50</v>
      </c>
      <c r="I237" s="18">
        <v>136000</v>
      </c>
      <c r="J237" s="85">
        <v>1</v>
      </c>
      <c r="K237" s="18">
        <f t="shared" ref="K237:K242" si="48">H237*I237</f>
        <v>6800000</v>
      </c>
      <c r="L237" s="84"/>
      <c r="N237" s="8">
        <f t="shared" si="47"/>
        <v>136000</v>
      </c>
      <c r="O237" s="7"/>
    </row>
    <row r="238" spans="1:15" s="6" customFormat="1" x14ac:dyDescent="0.25">
      <c r="A238" s="9"/>
      <c r="B238" s="17" t="s">
        <v>54</v>
      </c>
      <c r="C238" s="9"/>
      <c r="D238" s="9"/>
      <c r="E238" s="9" t="s">
        <v>10</v>
      </c>
      <c r="F238" s="9"/>
      <c r="G238" s="9" t="s">
        <v>287</v>
      </c>
      <c r="H238" s="24">
        <f>0.7*4.5+1.3*4</f>
        <v>8.35</v>
      </c>
      <c r="I238" s="18">
        <v>425000</v>
      </c>
      <c r="J238" s="85">
        <v>1</v>
      </c>
      <c r="K238" s="18">
        <f t="shared" si="48"/>
        <v>3548750</v>
      </c>
      <c r="L238" s="84"/>
      <c r="N238" s="8">
        <f t="shared" si="47"/>
        <v>425000</v>
      </c>
      <c r="O238" s="7"/>
    </row>
    <row r="239" spans="1:15" s="6" customFormat="1" x14ac:dyDescent="0.25">
      <c r="A239" s="9"/>
      <c r="B239" s="17" t="s">
        <v>150</v>
      </c>
      <c r="C239" s="9"/>
      <c r="D239" s="9"/>
      <c r="E239" s="9" t="s">
        <v>10</v>
      </c>
      <c r="F239" s="9"/>
      <c r="G239" s="9" t="s">
        <v>288</v>
      </c>
      <c r="H239" s="24">
        <f>1.3*4</f>
        <v>5.2</v>
      </c>
      <c r="I239" s="18">
        <v>162000</v>
      </c>
      <c r="J239" s="85">
        <v>1</v>
      </c>
      <c r="K239" s="18">
        <f t="shared" si="48"/>
        <v>842400</v>
      </c>
      <c r="L239" s="84"/>
      <c r="N239" s="8">
        <f t="shared" ref="N239:N246" si="49">+I239</f>
        <v>162000</v>
      </c>
      <c r="O239" s="7"/>
    </row>
    <row r="240" spans="1:15" s="6" customFormat="1" x14ac:dyDescent="0.25">
      <c r="A240" s="9"/>
      <c r="B240" s="17" t="s">
        <v>53</v>
      </c>
      <c r="C240" s="9"/>
      <c r="D240" s="9"/>
      <c r="E240" s="9" t="s">
        <v>15</v>
      </c>
      <c r="F240" s="9" t="s">
        <v>50</v>
      </c>
      <c r="G240" s="9" t="s">
        <v>289</v>
      </c>
      <c r="H240" s="24">
        <f>4*4.5*0.2</f>
        <v>3.6</v>
      </c>
      <c r="I240" s="18">
        <v>763000</v>
      </c>
      <c r="J240" s="85">
        <v>1</v>
      </c>
      <c r="K240" s="18">
        <f t="shared" si="48"/>
        <v>2746800</v>
      </c>
      <c r="L240" s="84"/>
      <c r="N240" s="8">
        <f t="shared" si="49"/>
        <v>763000</v>
      </c>
      <c r="O240" s="7" t="s">
        <v>804</v>
      </c>
    </row>
    <row r="241" spans="1:15" s="6" customFormat="1" ht="31.5" x14ac:dyDescent="0.25">
      <c r="A241" s="9"/>
      <c r="B241" s="20" t="s">
        <v>290</v>
      </c>
      <c r="C241" s="9"/>
      <c r="D241" s="9"/>
      <c r="E241" s="9" t="s">
        <v>10</v>
      </c>
      <c r="F241" s="9"/>
      <c r="G241" s="9" t="s">
        <v>291</v>
      </c>
      <c r="H241" s="24">
        <f>10.3*0.7</f>
        <v>7.21</v>
      </c>
      <c r="I241" s="18">
        <v>425000</v>
      </c>
      <c r="J241" s="85">
        <v>1</v>
      </c>
      <c r="K241" s="18">
        <f t="shared" si="48"/>
        <v>3064250</v>
      </c>
      <c r="L241" s="84"/>
      <c r="N241" s="8">
        <f t="shared" si="49"/>
        <v>425000</v>
      </c>
      <c r="O241" s="7"/>
    </row>
    <row r="242" spans="1:15" s="6" customFormat="1" x14ac:dyDescent="0.25">
      <c r="A242" s="9"/>
      <c r="B242" s="20" t="s">
        <v>292</v>
      </c>
      <c r="C242" s="9"/>
      <c r="D242" s="9"/>
      <c r="E242" s="9" t="s">
        <v>10</v>
      </c>
      <c r="F242" s="9"/>
      <c r="G242" s="9" t="s">
        <v>293</v>
      </c>
      <c r="H242" s="24">
        <f>10.3*4.5</f>
        <v>46.35</v>
      </c>
      <c r="I242" s="18">
        <v>77000</v>
      </c>
      <c r="J242" s="85">
        <v>1</v>
      </c>
      <c r="K242" s="18">
        <f t="shared" si="48"/>
        <v>3568950</v>
      </c>
      <c r="L242" s="84"/>
      <c r="N242" s="8">
        <f t="shared" si="49"/>
        <v>77000</v>
      </c>
      <c r="O242" s="7"/>
    </row>
    <row r="243" spans="1:15" s="6" customFormat="1" x14ac:dyDescent="0.25">
      <c r="A243" s="9"/>
      <c r="B243" s="17" t="s">
        <v>294</v>
      </c>
      <c r="C243" s="9"/>
      <c r="D243" s="9"/>
      <c r="E243" s="9" t="s">
        <v>10</v>
      </c>
      <c r="F243" s="9"/>
      <c r="G243" s="9" t="s">
        <v>295</v>
      </c>
      <c r="H243" s="11">
        <f>2.3*1.6</f>
        <v>3.6799999999999997</v>
      </c>
      <c r="I243" s="18">
        <v>227000</v>
      </c>
      <c r="J243" s="85">
        <v>1</v>
      </c>
      <c r="K243" s="12">
        <f t="shared" si="45"/>
        <v>835359.99999999988</v>
      </c>
      <c r="L243" s="84"/>
      <c r="N243" s="8">
        <f t="shared" si="49"/>
        <v>227000</v>
      </c>
      <c r="O243" s="7"/>
    </row>
    <row r="244" spans="1:15" s="191" customFormat="1" x14ac:dyDescent="0.25">
      <c r="A244" s="185"/>
      <c r="B244" s="186" t="s">
        <v>803</v>
      </c>
      <c r="C244" s="185"/>
      <c r="D244" s="185"/>
      <c r="E244" s="185" t="s">
        <v>47</v>
      </c>
      <c r="F244" s="185"/>
      <c r="G244" s="185"/>
      <c r="H244" s="187">
        <v>6</v>
      </c>
      <c r="I244" s="188">
        <v>2000000</v>
      </c>
      <c r="J244" s="189">
        <v>1</v>
      </c>
      <c r="K244" s="188">
        <f t="shared" ref="K244:K245" si="50">H244*I244</f>
        <v>12000000</v>
      </c>
      <c r="L244" s="190"/>
      <c r="N244" s="192">
        <f t="shared" si="49"/>
        <v>2000000</v>
      </c>
      <c r="O244" s="193"/>
    </row>
    <row r="245" spans="1:15" s="191" customFormat="1" x14ac:dyDescent="0.25">
      <c r="A245" s="185"/>
      <c r="B245" s="186" t="s">
        <v>48</v>
      </c>
      <c r="C245" s="194"/>
      <c r="D245" s="185"/>
      <c r="E245" s="185" t="s">
        <v>49</v>
      </c>
      <c r="F245" s="185"/>
      <c r="G245" s="185"/>
      <c r="H245" s="187">
        <v>1</v>
      </c>
      <c r="I245" s="188">
        <v>5000000</v>
      </c>
      <c r="J245" s="189">
        <v>1</v>
      </c>
      <c r="K245" s="188">
        <f t="shared" si="50"/>
        <v>5000000</v>
      </c>
      <c r="L245" s="190"/>
      <c r="N245" s="192">
        <f t="shared" si="49"/>
        <v>5000000</v>
      </c>
      <c r="O245" s="193"/>
    </row>
    <row r="246" spans="1:15" s="6" customFormat="1" x14ac:dyDescent="0.25">
      <c r="A246" s="9"/>
      <c r="B246" s="17" t="s">
        <v>172</v>
      </c>
      <c r="C246" s="9"/>
      <c r="D246" s="9"/>
      <c r="E246" s="9" t="s">
        <v>14</v>
      </c>
      <c r="F246" s="9"/>
      <c r="G246" s="9"/>
      <c r="H246" s="11">
        <v>40</v>
      </c>
      <c r="I246" s="18">
        <v>6000</v>
      </c>
      <c r="J246" s="85">
        <v>1</v>
      </c>
      <c r="K246" s="12">
        <f t="shared" si="45"/>
        <v>240000</v>
      </c>
      <c r="L246" s="84"/>
      <c r="N246" s="8">
        <f t="shared" si="49"/>
        <v>6000</v>
      </c>
      <c r="O246" s="7" t="s">
        <v>804</v>
      </c>
    </row>
    <row r="247" spans="1:15" s="6" customFormat="1" ht="15" customHeight="1" x14ac:dyDescent="0.25">
      <c r="A247" s="13">
        <v>12</v>
      </c>
      <c r="B247" s="99" t="s">
        <v>296</v>
      </c>
      <c r="C247" s="13">
        <v>63</v>
      </c>
      <c r="D247" s="13">
        <v>2</v>
      </c>
      <c r="E247" s="13"/>
      <c r="F247" s="13"/>
      <c r="G247" s="13"/>
      <c r="H247" s="15"/>
      <c r="I247" s="14"/>
      <c r="J247" s="39"/>
      <c r="K247" s="89">
        <f>SUM(K248:K270)</f>
        <v>448014762</v>
      </c>
      <c r="L247" s="84"/>
      <c r="N247" s="7"/>
      <c r="O247" s="7"/>
    </row>
    <row r="248" spans="1:15" s="139" customFormat="1" x14ac:dyDescent="0.25">
      <c r="A248" s="133"/>
      <c r="B248" s="142" t="s">
        <v>9</v>
      </c>
      <c r="C248" s="133"/>
      <c r="D248" s="133"/>
      <c r="E248" s="133" t="s">
        <v>10</v>
      </c>
      <c r="F248" s="133"/>
      <c r="G248" s="133"/>
      <c r="H248" s="135">
        <v>101.5</v>
      </c>
      <c r="I248" s="136">
        <v>4200000</v>
      </c>
      <c r="J248" s="137">
        <v>1</v>
      </c>
      <c r="K248" s="141">
        <f>H248*I248</f>
        <v>426300000</v>
      </c>
      <c r="L248" s="138"/>
      <c r="M248" s="6"/>
      <c r="N248" s="8">
        <f>+I248</f>
        <v>4200000</v>
      </c>
      <c r="O248" s="7"/>
    </row>
    <row r="249" spans="1:15" s="6" customFormat="1" x14ac:dyDescent="0.25">
      <c r="A249" s="9"/>
      <c r="B249" s="10" t="s">
        <v>12</v>
      </c>
      <c r="C249" s="10"/>
      <c r="D249" s="10"/>
      <c r="E249" s="121" t="s">
        <v>14</v>
      </c>
      <c r="F249" s="123" t="s">
        <v>297</v>
      </c>
      <c r="G249" s="121" t="s">
        <v>46</v>
      </c>
      <c r="H249" s="11">
        <v>50</v>
      </c>
      <c r="I249" s="18">
        <v>136000</v>
      </c>
      <c r="J249" s="85">
        <v>1</v>
      </c>
      <c r="K249" s="12">
        <f>I249*H249</f>
        <v>6800000</v>
      </c>
      <c r="L249" s="84"/>
      <c r="N249" s="8">
        <f t="shared" ref="N249:N266" si="51">+I249</f>
        <v>136000</v>
      </c>
      <c r="O249" s="7"/>
    </row>
    <row r="250" spans="1:15" s="6" customFormat="1" x14ac:dyDescent="0.25">
      <c r="A250" s="9"/>
      <c r="B250" s="10" t="s">
        <v>64</v>
      </c>
      <c r="C250" s="10"/>
      <c r="D250" s="10"/>
      <c r="E250" s="121"/>
      <c r="F250" s="123"/>
      <c r="G250" s="121"/>
      <c r="H250" s="11">
        <v>6</v>
      </c>
      <c r="I250" s="18">
        <v>245000</v>
      </c>
      <c r="J250" s="85">
        <v>1</v>
      </c>
      <c r="K250" s="12">
        <f>I250*H250</f>
        <v>1470000</v>
      </c>
      <c r="L250" s="84"/>
      <c r="N250" s="8">
        <f t="shared" si="51"/>
        <v>245000</v>
      </c>
      <c r="O250" s="7"/>
    </row>
    <row r="251" spans="1:15" s="6" customFormat="1" x14ac:dyDescent="0.25">
      <c r="A251" s="9"/>
      <c r="B251" s="10" t="s">
        <v>298</v>
      </c>
      <c r="C251" s="10"/>
      <c r="D251" s="10"/>
      <c r="E251" s="9" t="s">
        <v>10</v>
      </c>
      <c r="F251" s="9"/>
      <c r="G251" s="9" t="s">
        <v>299</v>
      </c>
      <c r="H251" s="11">
        <f>16.4*1.5</f>
        <v>24.599999999999998</v>
      </c>
      <c r="I251" s="18">
        <v>155000</v>
      </c>
      <c r="J251" s="85">
        <v>1</v>
      </c>
      <c r="K251" s="12">
        <f>I251*H251</f>
        <v>3812999.9999999995</v>
      </c>
      <c r="L251" s="84"/>
      <c r="N251" s="8">
        <f t="shared" si="51"/>
        <v>155000</v>
      </c>
      <c r="O251" s="7"/>
    </row>
    <row r="252" spans="1:15" s="6" customFormat="1" x14ac:dyDescent="0.25">
      <c r="A252" s="9"/>
      <c r="B252" s="10" t="s">
        <v>300</v>
      </c>
      <c r="C252" s="10"/>
      <c r="D252" s="10"/>
      <c r="E252" s="9" t="s">
        <v>10</v>
      </c>
      <c r="F252" s="9"/>
      <c r="G252" s="9" t="s">
        <v>301</v>
      </c>
      <c r="H252" s="11">
        <f>2.5*1.5</f>
        <v>3.75</v>
      </c>
      <c r="I252" s="18">
        <v>155000</v>
      </c>
      <c r="J252" s="85">
        <v>1</v>
      </c>
      <c r="K252" s="12">
        <f t="shared" ref="K252:K270" si="52">I252*H252</f>
        <v>581250</v>
      </c>
      <c r="L252" s="84"/>
      <c r="N252" s="8">
        <f t="shared" si="51"/>
        <v>155000</v>
      </c>
      <c r="O252" s="7"/>
    </row>
    <row r="253" spans="1:15" s="167" customFormat="1" x14ac:dyDescent="0.25">
      <c r="A253" s="161"/>
      <c r="B253" s="172" t="s">
        <v>302</v>
      </c>
      <c r="C253" s="172"/>
      <c r="D253" s="172"/>
      <c r="E253" s="161" t="s">
        <v>31</v>
      </c>
      <c r="F253" s="161" t="s">
        <v>19</v>
      </c>
      <c r="G253" s="161"/>
      <c r="H253" s="163">
        <v>3</v>
      </c>
      <c r="I253" s="164">
        <v>60000</v>
      </c>
      <c r="J253" s="165">
        <v>1</v>
      </c>
      <c r="K253" s="171">
        <f t="shared" si="52"/>
        <v>180000</v>
      </c>
      <c r="L253" s="166"/>
      <c r="N253" s="168">
        <f t="shared" si="51"/>
        <v>60000</v>
      </c>
      <c r="O253" s="169"/>
    </row>
    <row r="254" spans="1:15" s="167" customFormat="1" x14ac:dyDescent="0.25">
      <c r="A254" s="161"/>
      <c r="B254" s="172" t="s">
        <v>303</v>
      </c>
      <c r="C254" s="172"/>
      <c r="D254" s="172"/>
      <c r="E254" s="161" t="s">
        <v>31</v>
      </c>
      <c r="F254" s="161" t="s">
        <v>261</v>
      </c>
      <c r="G254" s="161"/>
      <c r="H254" s="163">
        <v>131</v>
      </c>
      <c r="I254" s="164">
        <v>10000</v>
      </c>
      <c r="J254" s="165">
        <v>1</v>
      </c>
      <c r="K254" s="171">
        <f t="shared" si="52"/>
        <v>1310000</v>
      </c>
      <c r="L254" s="166"/>
      <c r="N254" s="168">
        <f t="shared" si="51"/>
        <v>10000</v>
      </c>
      <c r="O254" s="169"/>
    </row>
    <row r="255" spans="1:15" s="167" customFormat="1" x14ac:dyDescent="0.25">
      <c r="A255" s="161"/>
      <c r="B255" s="172" t="s">
        <v>304</v>
      </c>
      <c r="C255" s="172"/>
      <c r="D255" s="172"/>
      <c r="E255" s="161" t="s">
        <v>31</v>
      </c>
      <c r="F255" s="161" t="s">
        <v>19</v>
      </c>
      <c r="G255" s="161"/>
      <c r="H255" s="163">
        <v>4</v>
      </c>
      <c r="I255" s="164">
        <v>90000</v>
      </c>
      <c r="J255" s="165">
        <v>1</v>
      </c>
      <c r="K255" s="171">
        <f t="shared" si="52"/>
        <v>360000</v>
      </c>
      <c r="L255" s="166"/>
      <c r="N255" s="168">
        <f t="shared" si="51"/>
        <v>90000</v>
      </c>
      <c r="O255" s="169"/>
    </row>
    <row r="256" spans="1:15" s="167" customFormat="1" x14ac:dyDescent="0.25">
      <c r="A256" s="161"/>
      <c r="B256" s="172" t="s">
        <v>305</v>
      </c>
      <c r="C256" s="172"/>
      <c r="D256" s="172"/>
      <c r="E256" s="161" t="s">
        <v>31</v>
      </c>
      <c r="F256" s="161" t="s">
        <v>19</v>
      </c>
      <c r="G256" s="161"/>
      <c r="H256" s="163">
        <v>2</v>
      </c>
      <c r="I256" s="164">
        <v>30000</v>
      </c>
      <c r="J256" s="165">
        <v>1</v>
      </c>
      <c r="K256" s="171">
        <f t="shared" si="52"/>
        <v>60000</v>
      </c>
      <c r="L256" s="166"/>
      <c r="N256" s="168">
        <f t="shared" si="51"/>
        <v>30000</v>
      </c>
      <c r="O256" s="169"/>
    </row>
    <row r="257" spans="1:15" s="167" customFormat="1" x14ac:dyDescent="0.25">
      <c r="A257" s="161"/>
      <c r="B257" s="172" t="s">
        <v>306</v>
      </c>
      <c r="C257" s="172"/>
      <c r="D257" s="172"/>
      <c r="E257" s="161" t="s">
        <v>31</v>
      </c>
      <c r="F257" s="161" t="s">
        <v>35</v>
      </c>
      <c r="G257" s="161"/>
      <c r="H257" s="163">
        <v>1</v>
      </c>
      <c r="I257" s="164">
        <v>240000</v>
      </c>
      <c r="J257" s="165">
        <v>1</v>
      </c>
      <c r="K257" s="171">
        <f t="shared" si="52"/>
        <v>240000</v>
      </c>
      <c r="L257" s="166"/>
      <c r="N257" s="168">
        <f t="shared" si="51"/>
        <v>240000</v>
      </c>
      <c r="O257" s="169"/>
    </row>
    <row r="258" spans="1:15" s="167" customFormat="1" x14ac:dyDescent="0.25">
      <c r="A258" s="161"/>
      <c r="B258" s="172" t="s">
        <v>307</v>
      </c>
      <c r="C258" s="172"/>
      <c r="D258" s="172"/>
      <c r="E258" s="161" t="s">
        <v>31</v>
      </c>
      <c r="F258" s="161" t="s">
        <v>35</v>
      </c>
      <c r="G258" s="161"/>
      <c r="H258" s="163">
        <v>1</v>
      </c>
      <c r="I258" s="164">
        <v>700000</v>
      </c>
      <c r="J258" s="165">
        <v>1</v>
      </c>
      <c r="K258" s="171">
        <f t="shared" si="52"/>
        <v>700000</v>
      </c>
      <c r="L258" s="166"/>
      <c r="N258" s="168">
        <f t="shared" si="51"/>
        <v>700000</v>
      </c>
      <c r="O258" s="169"/>
    </row>
    <row r="259" spans="1:15" s="167" customFormat="1" x14ac:dyDescent="0.25">
      <c r="A259" s="161"/>
      <c r="B259" s="172" t="s">
        <v>308</v>
      </c>
      <c r="C259" s="172"/>
      <c r="D259" s="172"/>
      <c r="E259" s="161" t="s">
        <v>31</v>
      </c>
      <c r="F259" s="161" t="s">
        <v>19</v>
      </c>
      <c r="G259" s="161"/>
      <c r="H259" s="163">
        <v>3</v>
      </c>
      <c r="I259" s="164">
        <v>36000</v>
      </c>
      <c r="J259" s="165">
        <v>1</v>
      </c>
      <c r="K259" s="171">
        <f t="shared" si="52"/>
        <v>108000</v>
      </c>
      <c r="L259" s="166"/>
      <c r="N259" s="168">
        <f t="shared" si="51"/>
        <v>36000</v>
      </c>
      <c r="O259" s="169"/>
    </row>
    <row r="260" spans="1:15" s="167" customFormat="1" x14ac:dyDescent="0.25">
      <c r="A260" s="161"/>
      <c r="B260" s="172" t="s">
        <v>309</v>
      </c>
      <c r="C260" s="172"/>
      <c r="D260" s="172"/>
      <c r="E260" s="161" t="s">
        <v>31</v>
      </c>
      <c r="F260" s="161" t="s">
        <v>19</v>
      </c>
      <c r="G260" s="161"/>
      <c r="H260" s="163">
        <v>2</v>
      </c>
      <c r="I260" s="164">
        <v>30000</v>
      </c>
      <c r="J260" s="165">
        <v>1</v>
      </c>
      <c r="K260" s="171">
        <f t="shared" si="52"/>
        <v>60000</v>
      </c>
      <c r="L260" s="166"/>
      <c r="N260" s="168">
        <f t="shared" si="51"/>
        <v>30000</v>
      </c>
      <c r="O260" s="169"/>
    </row>
    <row r="261" spans="1:15" s="167" customFormat="1" x14ac:dyDescent="0.25">
      <c r="A261" s="161"/>
      <c r="B261" s="172" t="s">
        <v>310</v>
      </c>
      <c r="C261" s="172"/>
      <c r="D261" s="172"/>
      <c r="E261" s="161" t="s">
        <v>31</v>
      </c>
      <c r="F261" s="161" t="s">
        <v>27</v>
      </c>
      <c r="G261" s="161"/>
      <c r="H261" s="163">
        <v>1</v>
      </c>
      <c r="I261" s="164">
        <v>90000</v>
      </c>
      <c r="J261" s="165">
        <v>1</v>
      </c>
      <c r="K261" s="171">
        <f t="shared" si="52"/>
        <v>90000</v>
      </c>
      <c r="L261" s="166"/>
      <c r="N261" s="168">
        <f t="shared" si="51"/>
        <v>90000</v>
      </c>
      <c r="O261" s="169"/>
    </row>
    <row r="262" spans="1:15" s="167" customFormat="1" x14ac:dyDescent="0.25">
      <c r="A262" s="161"/>
      <c r="B262" s="172" t="s">
        <v>311</v>
      </c>
      <c r="C262" s="172"/>
      <c r="D262" s="172"/>
      <c r="E262" s="161" t="s">
        <v>31</v>
      </c>
      <c r="F262" s="161" t="s">
        <v>261</v>
      </c>
      <c r="G262" s="161"/>
      <c r="H262" s="163">
        <v>4</v>
      </c>
      <c r="I262" s="164">
        <v>41000</v>
      </c>
      <c r="J262" s="165">
        <v>1</v>
      </c>
      <c r="K262" s="171">
        <f t="shared" si="52"/>
        <v>164000</v>
      </c>
      <c r="L262" s="166"/>
      <c r="N262" s="168">
        <f t="shared" si="51"/>
        <v>41000</v>
      </c>
      <c r="O262" s="169"/>
    </row>
    <row r="263" spans="1:15" s="167" customFormat="1" x14ac:dyDescent="0.25">
      <c r="A263" s="161"/>
      <c r="B263" s="172" t="s">
        <v>312</v>
      </c>
      <c r="C263" s="172"/>
      <c r="D263" s="172"/>
      <c r="E263" s="161" t="s">
        <v>31</v>
      </c>
      <c r="F263" s="161" t="s">
        <v>19</v>
      </c>
      <c r="G263" s="161"/>
      <c r="H263" s="163">
        <v>2</v>
      </c>
      <c r="I263" s="164">
        <v>180000</v>
      </c>
      <c r="J263" s="165">
        <v>1</v>
      </c>
      <c r="K263" s="171">
        <f t="shared" si="52"/>
        <v>360000</v>
      </c>
      <c r="L263" s="166"/>
      <c r="N263" s="168">
        <f t="shared" si="51"/>
        <v>180000</v>
      </c>
      <c r="O263" s="169"/>
    </row>
    <row r="264" spans="1:15" s="167" customFormat="1" x14ac:dyDescent="0.25">
      <c r="A264" s="161"/>
      <c r="B264" s="172" t="s">
        <v>313</v>
      </c>
      <c r="C264" s="172"/>
      <c r="D264" s="172"/>
      <c r="E264" s="161" t="s">
        <v>31</v>
      </c>
      <c r="F264" s="161" t="s">
        <v>19</v>
      </c>
      <c r="G264" s="161"/>
      <c r="H264" s="163">
        <v>1</v>
      </c>
      <c r="I264" s="164">
        <v>48000</v>
      </c>
      <c r="J264" s="165">
        <v>1</v>
      </c>
      <c r="K264" s="171">
        <f t="shared" si="52"/>
        <v>48000</v>
      </c>
      <c r="L264" s="166"/>
      <c r="N264" s="168">
        <f t="shared" si="51"/>
        <v>48000</v>
      </c>
      <c r="O264" s="169"/>
    </row>
    <row r="265" spans="1:15" s="167" customFormat="1" x14ac:dyDescent="0.25">
      <c r="A265" s="161"/>
      <c r="B265" s="172" t="s">
        <v>314</v>
      </c>
      <c r="C265" s="172"/>
      <c r="D265" s="172"/>
      <c r="E265" s="161" t="s">
        <v>31</v>
      </c>
      <c r="F265" s="161" t="s">
        <v>315</v>
      </c>
      <c r="G265" s="161"/>
      <c r="H265" s="163">
        <v>1</v>
      </c>
      <c r="I265" s="164">
        <v>95000</v>
      </c>
      <c r="J265" s="165">
        <v>1</v>
      </c>
      <c r="K265" s="171">
        <f t="shared" si="52"/>
        <v>95000</v>
      </c>
      <c r="L265" s="166"/>
      <c r="N265" s="168">
        <f t="shared" si="51"/>
        <v>95000</v>
      </c>
      <c r="O265" s="169"/>
    </row>
    <row r="266" spans="1:15" s="167" customFormat="1" x14ac:dyDescent="0.25">
      <c r="A266" s="161"/>
      <c r="B266" s="172" t="s">
        <v>316</v>
      </c>
      <c r="C266" s="172"/>
      <c r="D266" s="172"/>
      <c r="E266" s="161" t="s">
        <v>31</v>
      </c>
      <c r="F266" s="161" t="s">
        <v>19</v>
      </c>
      <c r="G266" s="161"/>
      <c r="H266" s="163">
        <v>2</v>
      </c>
      <c r="I266" s="164">
        <v>12000</v>
      </c>
      <c r="J266" s="165">
        <v>1</v>
      </c>
      <c r="K266" s="171">
        <f t="shared" si="52"/>
        <v>24000</v>
      </c>
      <c r="L266" s="166"/>
      <c r="N266" s="168">
        <f t="shared" si="51"/>
        <v>12000</v>
      </c>
      <c r="O266" s="169"/>
    </row>
    <row r="267" spans="1:15" s="167" customFormat="1" x14ac:dyDescent="0.25">
      <c r="A267" s="161"/>
      <c r="B267" s="172" t="s">
        <v>818</v>
      </c>
      <c r="C267" s="172"/>
      <c r="D267" s="172"/>
      <c r="E267" s="161" t="s">
        <v>10</v>
      </c>
      <c r="F267" s="161" t="s">
        <v>19</v>
      </c>
      <c r="G267" s="161"/>
      <c r="H267" s="163">
        <v>3</v>
      </c>
      <c r="I267" s="164">
        <v>11000</v>
      </c>
      <c r="J267" s="165">
        <v>1</v>
      </c>
      <c r="K267" s="171">
        <f t="shared" si="52"/>
        <v>33000</v>
      </c>
      <c r="L267" s="166"/>
      <c r="N267" s="169">
        <v>11000</v>
      </c>
      <c r="O267" s="169"/>
    </row>
    <row r="268" spans="1:15" s="167" customFormat="1" x14ac:dyDescent="0.25">
      <c r="A268" s="161"/>
      <c r="B268" s="172" t="s">
        <v>317</v>
      </c>
      <c r="C268" s="172"/>
      <c r="D268" s="172"/>
      <c r="E268" s="161" t="s">
        <v>31</v>
      </c>
      <c r="F268" s="161" t="s">
        <v>35</v>
      </c>
      <c r="G268" s="161"/>
      <c r="H268" s="163">
        <v>1</v>
      </c>
      <c r="I268" s="164">
        <v>180000</v>
      </c>
      <c r="J268" s="165">
        <v>1</v>
      </c>
      <c r="K268" s="171">
        <f t="shared" si="52"/>
        <v>180000</v>
      </c>
      <c r="L268" s="166"/>
      <c r="N268" s="168">
        <f>+I268</f>
        <v>180000</v>
      </c>
      <c r="O268" s="169"/>
    </row>
    <row r="269" spans="1:15" s="167" customFormat="1" x14ac:dyDescent="0.25">
      <c r="A269" s="161"/>
      <c r="B269" s="172" t="s">
        <v>318</v>
      </c>
      <c r="C269" s="172"/>
      <c r="D269" s="172"/>
      <c r="E269" s="161" t="s">
        <v>31</v>
      </c>
      <c r="F269" s="161" t="s">
        <v>19</v>
      </c>
      <c r="G269" s="161"/>
      <c r="H269" s="163">
        <v>1</v>
      </c>
      <c r="I269" s="164">
        <v>150000</v>
      </c>
      <c r="J269" s="165">
        <v>1</v>
      </c>
      <c r="K269" s="171">
        <f t="shared" si="52"/>
        <v>150000</v>
      </c>
      <c r="L269" s="166"/>
      <c r="N269" s="168">
        <f>+I269</f>
        <v>150000</v>
      </c>
      <c r="O269" s="169"/>
    </row>
    <row r="270" spans="1:15" s="6" customFormat="1" x14ac:dyDescent="0.25">
      <c r="A270" s="9"/>
      <c r="B270" s="17" t="s">
        <v>223</v>
      </c>
      <c r="C270" s="9"/>
      <c r="D270" s="9"/>
      <c r="E270" s="9" t="s">
        <v>15</v>
      </c>
      <c r="F270" s="9"/>
      <c r="G270" s="9" t="s">
        <v>319</v>
      </c>
      <c r="H270" s="24">
        <f>16.4*0.45*1.2</f>
        <v>8.8559999999999999</v>
      </c>
      <c r="I270" s="12">
        <v>552000</v>
      </c>
      <c r="J270" s="85">
        <v>1</v>
      </c>
      <c r="K270" s="12">
        <f t="shared" si="52"/>
        <v>4888512</v>
      </c>
      <c r="L270" s="84"/>
      <c r="N270" s="8">
        <f>+I270</f>
        <v>552000</v>
      </c>
      <c r="O270" s="7"/>
    </row>
    <row r="271" spans="1:15" s="6" customFormat="1" x14ac:dyDescent="0.25">
      <c r="A271" s="13">
        <v>13</v>
      </c>
      <c r="B271" s="86" t="s">
        <v>320</v>
      </c>
      <c r="C271" s="13">
        <v>108</v>
      </c>
      <c r="D271" s="13">
        <v>2</v>
      </c>
      <c r="E271" s="13"/>
      <c r="F271" s="13"/>
      <c r="G271" s="13"/>
      <c r="H271" s="15"/>
      <c r="I271" s="89"/>
      <c r="J271" s="91"/>
      <c r="K271" s="89">
        <f>SUM(K272:K280)</f>
        <v>881308080</v>
      </c>
      <c r="L271" s="84"/>
      <c r="N271" s="7"/>
      <c r="O271" s="7"/>
    </row>
    <row r="272" spans="1:15" s="139" customFormat="1" x14ac:dyDescent="0.25">
      <c r="A272" s="133"/>
      <c r="B272" s="140" t="s">
        <v>9</v>
      </c>
      <c r="C272" s="133"/>
      <c r="D272" s="133"/>
      <c r="E272" s="133" t="s">
        <v>10</v>
      </c>
      <c r="F272" s="133"/>
      <c r="G272" s="133"/>
      <c r="H272" s="135">
        <v>89.4</v>
      </c>
      <c r="I272" s="141">
        <v>7000000</v>
      </c>
      <c r="J272" s="137">
        <v>1</v>
      </c>
      <c r="K272" s="141">
        <f>H272*I272</f>
        <v>625800000</v>
      </c>
      <c r="L272" s="138"/>
      <c r="M272" s="6"/>
      <c r="N272" s="8">
        <f>+I272</f>
        <v>7000000</v>
      </c>
      <c r="O272" s="7" t="s">
        <v>815</v>
      </c>
    </row>
    <row r="273" spans="1:15" s="6" customFormat="1" ht="63" x14ac:dyDescent="0.25">
      <c r="A273" s="9"/>
      <c r="B273" s="20" t="s">
        <v>321</v>
      </c>
      <c r="C273" s="9"/>
      <c r="D273" s="9"/>
      <c r="E273" s="9" t="s">
        <v>10</v>
      </c>
      <c r="F273" s="9"/>
      <c r="G273" s="9" t="s">
        <v>322</v>
      </c>
      <c r="H273" s="11">
        <f>12.8*7.3</f>
        <v>93.44</v>
      </c>
      <c r="I273" s="12">
        <f>(2901000-38000+32000)*80%</f>
        <v>2316000</v>
      </c>
      <c r="J273" s="85">
        <v>1</v>
      </c>
      <c r="K273" s="12">
        <f>H273*I273</f>
        <v>216407040</v>
      </c>
      <c r="L273" s="84"/>
      <c r="N273" s="8">
        <f>+I273</f>
        <v>2316000</v>
      </c>
      <c r="O273" s="7"/>
    </row>
    <row r="274" spans="1:15" s="6" customFormat="1" ht="31.5" x14ac:dyDescent="0.25">
      <c r="A274" s="9"/>
      <c r="B274" s="87" t="s">
        <v>323</v>
      </c>
      <c r="C274" s="9"/>
      <c r="D274" s="9"/>
      <c r="E274" s="9" t="s">
        <v>10</v>
      </c>
      <c r="F274" s="9"/>
      <c r="G274" s="21" t="s">
        <v>324</v>
      </c>
      <c r="H274" s="88">
        <f>12.3*6.8</f>
        <v>83.64</v>
      </c>
      <c r="I274" s="12">
        <v>198000</v>
      </c>
      <c r="J274" s="85">
        <v>1</v>
      </c>
      <c r="K274" s="12">
        <f t="shared" ref="K274:K280" si="53">H274*I274</f>
        <v>16560720</v>
      </c>
      <c r="L274" s="84"/>
      <c r="N274" s="8">
        <f t="shared" ref="N274:N279" si="54">+I274</f>
        <v>198000</v>
      </c>
      <c r="O274" s="7"/>
    </row>
    <row r="275" spans="1:15" s="6" customFormat="1" x14ac:dyDescent="0.25">
      <c r="A275" s="9"/>
      <c r="B275" s="87" t="s">
        <v>45</v>
      </c>
      <c r="C275" s="9"/>
      <c r="D275" s="9"/>
      <c r="E275" s="9" t="s">
        <v>10</v>
      </c>
      <c r="F275" s="9"/>
      <c r="G275" s="21" t="s">
        <v>324</v>
      </c>
      <c r="H275" s="88">
        <f>-12.3*6.8</f>
        <v>-83.64</v>
      </c>
      <c r="I275" s="12">
        <v>102000</v>
      </c>
      <c r="J275" s="85">
        <v>1</v>
      </c>
      <c r="K275" s="12">
        <f t="shared" si="53"/>
        <v>-8531280</v>
      </c>
      <c r="L275" s="84"/>
      <c r="N275" s="8">
        <f t="shared" si="54"/>
        <v>102000</v>
      </c>
      <c r="O275" s="7"/>
    </row>
    <row r="276" spans="1:15" s="6" customFormat="1" x14ac:dyDescent="0.25">
      <c r="A276" s="9"/>
      <c r="B276" s="20" t="s">
        <v>12</v>
      </c>
      <c r="C276" s="9"/>
      <c r="D276" s="9"/>
      <c r="E276" s="121" t="s">
        <v>14</v>
      </c>
      <c r="F276" s="121" t="s">
        <v>139</v>
      </c>
      <c r="G276" s="121" t="s">
        <v>46</v>
      </c>
      <c r="H276" s="11">
        <v>50</v>
      </c>
      <c r="I276" s="12">
        <v>136000</v>
      </c>
      <c r="J276" s="85">
        <v>1</v>
      </c>
      <c r="K276" s="12">
        <f t="shared" si="53"/>
        <v>6800000</v>
      </c>
      <c r="L276" s="84"/>
      <c r="N276" s="8">
        <f t="shared" si="54"/>
        <v>136000</v>
      </c>
      <c r="O276" s="7"/>
    </row>
    <row r="277" spans="1:15" s="6" customFormat="1" x14ac:dyDescent="0.25">
      <c r="A277" s="9"/>
      <c r="B277" s="20" t="s">
        <v>64</v>
      </c>
      <c r="C277" s="9"/>
      <c r="D277" s="9"/>
      <c r="E277" s="121"/>
      <c r="F277" s="121"/>
      <c r="G277" s="121"/>
      <c r="H277" s="11">
        <v>10</v>
      </c>
      <c r="I277" s="12">
        <v>245000</v>
      </c>
      <c r="J277" s="85">
        <v>1</v>
      </c>
      <c r="K277" s="12">
        <f t="shared" si="53"/>
        <v>2450000</v>
      </c>
      <c r="L277" s="84"/>
      <c r="N277" s="8">
        <f t="shared" si="54"/>
        <v>245000</v>
      </c>
      <c r="O277" s="7"/>
    </row>
    <row r="278" spans="1:15" s="6" customFormat="1" ht="31.5" x14ac:dyDescent="0.25">
      <c r="A278" s="9"/>
      <c r="B278" s="20" t="s">
        <v>325</v>
      </c>
      <c r="C278" s="9"/>
      <c r="D278" s="9"/>
      <c r="E278" s="9" t="s">
        <v>10</v>
      </c>
      <c r="F278" s="9"/>
      <c r="G278" s="9" t="s">
        <v>326</v>
      </c>
      <c r="H278" s="11">
        <f>1.6*2.1</f>
        <v>3.3600000000000003</v>
      </c>
      <c r="I278" s="12">
        <v>1435000</v>
      </c>
      <c r="J278" s="85">
        <v>1</v>
      </c>
      <c r="K278" s="12">
        <f t="shared" si="53"/>
        <v>4821600</v>
      </c>
      <c r="L278" s="84"/>
      <c r="N278" s="8">
        <f t="shared" si="54"/>
        <v>1435000</v>
      </c>
      <c r="O278" s="7"/>
    </row>
    <row r="279" spans="1:15" s="191" customFormat="1" x14ac:dyDescent="0.25">
      <c r="A279" s="185"/>
      <c r="B279" s="186" t="s">
        <v>803</v>
      </c>
      <c r="C279" s="185"/>
      <c r="D279" s="185"/>
      <c r="E279" s="185" t="s">
        <v>47</v>
      </c>
      <c r="F279" s="185"/>
      <c r="G279" s="185"/>
      <c r="H279" s="187">
        <v>6</v>
      </c>
      <c r="I279" s="188">
        <v>2000000</v>
      </c>
      <c r="J279" s="189">
        <v>1</v>
      </c>
      <c r="K279" s="188">
        <f t="shared" si="53"/>
        <v>12000000</v>
      </c>
      <c r="L279" s="190"/>
      <c r="N279" s="192">
        <f t="shared" si="54"/>
        <v>2000000</v>
      </c>
      <c r="O279" s="193"/>
    </row>
    <row r="280" spans="1:15" s="191" customFormat="1" x14ac:dyDescent="0.25">
      <c r="A280" s="185"/>
      <c r="B280" s="186" t="s">
        <v>48</v>
      </c>
      <c r="C280" s="194"/>
      <c r="D280" s="185"/>
      <c r="E280" s="185" t="s">
        <v>49</v>
      </c>
      <c r="F280" s="185"/>
      <c r="G280" s="185"/>
      <c r="H280" s="187">
        <v>1</v>
      </c>
      <c r="I280" s="188">
        <v>5000000</v>
      </c>
      <c r="J280" s="189">
        <v>1</v>
      </c>
      <c r="K280" s="188">
        <f t="shared" si="53"/>
        <v>5000000</v>
      </c>
      <c r="L280" s="190"/>
      <c r="N280" s="192">
        <f>+I280</f>
        <v>5000000</v>
      </c>
      <c r="O280" s="193"/>
    </row>
    <row r="281" spans="1:15" s="6" customFormat="1" x14ac:dyDescent="0.25">
      <c r="A281" s="13">
        <v>14</v>
      </c>
      <c r="B281" s="14" t="s">
        <v>327</v>
      </c>
      <c r="C281" s="13">
        <v>78</v>
      </c>
      <c r="D281" s="13">
        <v>2</v>
      </c>
      <c r="E281" s="13"/>
      <c r="F281" s="14"/>
      <c r="G281" s="13"/>
      <c r="H281" s="15"/>
      <c r="I281" s="16"/>
      <c r="J281" s="39"/>
      <c r="K281" s="16">
        <f>K282</f>
        <v>630700000</v>
      </c>
      <c r="L281" s="84"/>
      <c r="N281" s="7"/>
      <c r="O281" s="7"/>
    </row>
    <row r="282" spans="1:15" s="139" customFormat="1" x14ac:dyDescent="0.25">
      <c r="A282" s="134"/>
      <c r="B282" s="134" t="s">
        <v>9</v>
      </c>
      <c r="C282" s="133"/>
      <c r="D282" s="133"/>
      <c r="E282" s="133" t="s">
        <v>10</v>
      </c>
      <c r="F282" s="134"/>
      <c r="G282" s="133"/>
      <c r="H282" s="135">
        <v>90.1</v>
      </c>
      <c r="I282" s="136">
        <v>7000000</v>
      </c>
      <c r="J282" s="137">
        <v>1</v>
      </c>
      <c r="K282" s="136">
        <f>H282*I282</f>
        <v>630700000</v>
      </c>
      <c r="L282" s="138"/>
      <c r="M282" s="6"/>
      <c r="N282" s="8">
        <f>+I282</f>
        <v>7000000</v>
      </c>
      <c r="O282" s="7"/>
    </row>
    <row r="283" spans="1:15" s="6" customFormat="1" x14ac:dyDescent="0.25">
      <c r="A283" s="13">
        <v>15</v>
      </c>
      <c r="B283" s="14" t="s">
        <v>328</v>
      </c>
      <c r="C283" s="13">
        <v>77</v>
      </c>
      <c r="D283" s="13">
        <v>2</v>
      </c>
      <c r="E283" s="13"/>
      <c r="F283" s="13"/>
      <c r="G283" s="13"/>
      <c r="H283" s="15"/>
      <c r="I283" s="16"/>
      <c r="J283" s="39"/>
      <c r="K283" s="16">
        <f>SUM(K284:K313)</f>
        <v>952245147</v>
      </c>
      <c r="L283" s="84"/>
      <c r="N283" s="7"/>
      <c r="O283" s="7"/>
    </row>
    <row r="284" spans="1:15" s="139" customFormat="1" x14ac:dyDescent="0.25">
      <c r="A284" s="134"/>
      <c r="B284" s="134" t="s">
        <v>9</v>
      </c>
      <c r="C284" s="133"/>
      <c r="D284" s="133"/>
      <c r="E284" s="133" t="s">
        <v>10</v>
      </c>
      <c r="F284" s="133"/>
      <c r="G284" s="133"/>
      <c r="H284" s="135">
        <v>102.7</v>
      </c>
      <c r="I284" s="136">
        <v>4200000</v>
      </c>
      <c r="J284" s="137">
        <v>1</v>
      </c>
      <c r="K284" s="136">
        <f>H284*I284</f>
        <v>431340000</v>
      </c>
      <c r="L284" s="138"/>
      <c r="M284" s="6"/>
      <c r="N284" s="8">
        <f t="shared" ref="N284:N293" si="55">+I284</f>
        <v>4200000</v>
      </c>
      <c r="O284" s="7"/>
    </row>
    <row r="285" spans="1:15" s="139" customFormat="1" x14ac:dyDescent="0.25">
      <c r="A285" s="134"/>
      <c r="B285" s="134" t="s">
        <v>267</v>
      </c>
      <c r="C285" s="133"/>
      <c r="D285" s="133"/>
      <c r="E285" s="133" t="s">
        <v>10</v>
      </c>
      <c r="F285" s="133"/>
      <c r="G285" s="133"/>
      <c r="H285" s="135">
        <v>17.899999999999999</v>
      </c>
      <c r="I285" s="136">
        <v>4200000</v>
      </c>
      <c r="J285" s="137">
        <v>1</v>
      </c>
      <c r="K285" s="136">
        <f>H285*I285</f>
        <v>75180000</v>
      </c>
      <c r="L285" s="138"/>
      <c r="M285" s="6"/>
      <c r="N285" s="8">
        <f t="shared" si="55"/>
        <v>4200000</v>
      </c>
      <c r="O285" s="7"/>
    </row>
    <row r="286" spans="1:15" s="6" customFormat="1" ht="110.25" x14ac:dyDescent="0.25">
      <c r="A286" s="17"/>
      <c r="B286" s="20" t="s">
        <v>653</v>
      </c>
      <c r="C286" s="9"/>
      <c r="D286" s="9"/>
      <c r="E286" s="9" t="s">
        <v>10</v>
      </c>
      <c r="F286" s="9"/>
      <c r="G286" s="9" t="s">
        <v>329</v>
      </c>
      <c r="H286" s="11">
        <f>5.9*7.9</f>
        <v>46.610000000000007</v>
      </c>
      <c r="I286" s="18">
        <f>5329000+32000*3</f>
        <v>5425000</v>
      </c>
      <c r="J286" s="85">
        <v>1</v>
      </c>
      <c r="K286" s="18">
        <f>H286*I286</f>
        <v>252859250.00000003</v>
      </c>
      <c r="L286" s="84"/>
      <c r="N286" s="8">
        <f t="shared" si="55"/>
        <v>5425000</v>
      </c>
      <c r="O286" s="7"/>
    </row>
    <row r="287" spans="1:15" s="6" customFormat="1" ht="31.5" x14ac:dyDescent="0.25">
      <c r="A287" s="17"/>
      <c r="B287" s="87" t="s">
        <v>330</v>
      </c>
      <c r="C287" s="9"/>
      <c r="D287" s="9"/>
      <c r="E287" s="9" t="s">
        <v>10</v>
      </c>
      <c r="F287" s="9"/>
      <c r="G287" s="21" t="s">
        <v>331</v>
      </c>
      <c r="H287" s="22">
        <f>5.5*7.5</f>
        <v>41.25</v>
      </c>
      <c r="I287" s="12">
        <v>253000</v>
      </c>
      <c r="J287" s="85">
        <v>1</v>
      </c>
      <c r="K287" s="12">
        <f t="shared" ref="K287:K311" si="56">H287*I287</f>
        <v>10436250</v>
      </c>
      <c r="L287" s="84"/>
      <c r="N287" s="8">
        <f t="shared" si="55"/>
        <v>253000</v>
      </c>
      <c r="O287" s="7"/>
    </row>
    <row r="288" spans="1:15" s="6" customFormat="1" ht="31.5" x14ac:dyDescent="0.25">
      <c r="A288" s="17"/>
      <c r="B288" s="87" t="s">
        <v>332</v>
      </c>
      <c r="C288" s="9"/>
      <c r="D288" s="9"/>
      <c r="E288" s="9" t="s">
        <v>10</v>
      </c>
      <c r="F288" s="9"/>
      <c r="G288" s="21" t="s">
        <v>331</v>
      </c>
      <c r="H288" s="22">
        <f>-5.5*7.5</f>
        <v>-41.25</v>
      </c>
      <c r="I288" s="12">
        <v>144000</v>
      </c>
      <c r="J288" s="85">
        <v>1</v>
      </c>
      <c r="K288" s="12">
        <f t="shared" si="56"/>
        <v>-5940000</v>
      </c>
      <c r="L288" s="84"/>
      <c r="N288" s="8">
        <f t="shared" si="55"/>
        <v>144000</v>
      </c>
      <c r="O288" s="7"/>
    </row>
    <row r="289" spans="1:15" s="6" customFormat="1" x14ac:dyDescent="0.25">
      <c r="A289" s="17"/>
      <c r="B289" s="20" t="s">
        <v>333</v>
      </c>
      <c r="C289" s="9"/>
      <c r="D289" s="9"/>
      <c r="E289" s="9" t="s">
        <v>10</v>
      </c>
      <c r="F289" s="9"/>
      <c r="G289" s="9" t="s">
        <v>334</v>
      </c>
      <c r="H289" s="11">
        <f>5.5*2*1.1</f>
        <v>12.100000000000001</v>
      </c>
      <c r="I289" s="18">
        <v>255000</v>
      </c>
      <c r="J289" s="85">
        <v>1</v>
      </c>
      <c r="K289" s="12">
        <f t="shared" si="56"/>
        <v>3085500.0000000005</v>
      </c>
      <c r="L289" s="84"/>
      <c r="N289" s="8">
        <f t="shared" si="55"/>
        <v>255000</v>
      </c>
      <c r="O289" s="7"/>
    </row>
    <row r="290" spans="1:15" s="6" customFormat="1" x14ac:dyDescent="0.25">
      <c r="A290" s="17"/>
      <c r="B290" s="17" t="s">
        <v>335</v>
      </c>
      <c r="C290" s="9"/>
      <c r="D290" s="9"/>
      <c r="E290" s="9" t="s">
        <v>10</v>
      </c>
      <c r="F290" s="9"/>
      <c r="G290" s="9" t="s">
        <v>336</v>
      </c>
      <c r="H290" s="11">
        <f>(5.5+1.3)*1.1</f>
        <v>7.48</v>
      </c>
      <c r="I290" s="18">
        <v>459000</v>
      </c>
      <c r="J290" s="85">
        <v>1</v>
      </c>
      <c r="K290" s="18">
        <f t="shared" si="56"/>
        <v>3433320</v>
      </c>
      <c r="L290" s="84"/>
      <c r="N290" s="8">
        <f t="shared" si="55"/>
        <v>459000</v>
      </c>
      <c r="O290" s="7"/>
    </row>
    <row r="291" spans="1:15" s="6" customFormat="1" x14ac:dyDescent="0.25">
      <c r="A291" s="17"/>
      <c r="B291" s="17" t="s">
        <v>337</v>
      </c>
      <c r="C291" s="9"/>
      <c r="D291" s="9"/>
      <c r="E291" s="9" t="s">
        <v>10</v>
      </c>
      <c r="F291" s="9" t="s">
        <v>338</v>
      </c>
      <c r="G291" s="9" t="s">
        <v>339</v>
      </c>
      <c r="H291" s="11">
        <f>0.4*0.4*3.7*2</f>
        <v>1.1840000000000004</v>
      </c>
      <c r="I291" s="18">
        <v>4334000</v>
      </c>
      <c r="J291" s="85">
        <v>1</v>
      </c>
      <c r="K291" s="18">
        <f t="shared" si="56"/>
        <v>5131456.0000000019</v>
      </c>
      <c r="L291" s="84"/>
      <c r="N291" s="8">
        <f t="shared" si="55"/>
        <v>4334000</v>
      </c>
      <c r="O291" s="7" t="s">
        <v>804</v>
      </c>
    </row>
    <row r="292" spans="1:15" s="6" customFormat="1" x14ac:dyDescent="0.25">
      <c r="A292" s="17"/>
      <c r="B292" s="17" t="s">
        <v>13</v>
      </c>
      <c r="C292" s="9"/>
      <c r="D292" s="9"/>
      <c r="E292" s="9" t="s">
        <v>16</v>
      </c>
      <c r="F292" s="9"/>
      <c r="G292" s="9"/>
      <c r="H292" s="11">
        <v>1</v>
      </c>
      <c r="I292" s="18">
        <v>350000</v>
      </c>
      <c r="J292" s="85">
        <v>1</v>
      </c>
      <c r="K292" s="18">
        <f t="shared" si="56"/>
        <v>350000</v>
      </c>
      <c r="L292" s="84"/>
      <c r="N292" s="8">
        <f t="shared" si="55"/>
        <v>350000</v>
      </c>
      <c r="O292" s="7"/>
    </row>
    <row r="293" spans="1:15" s="6" customFormat="1" x14ac:dyDescent="0.25">
      <c r="A293" s="17"/>
      <c r="B293" s="17" t="s">
        <v>256</v>
      </c>
      <c r="C293" s="9"/>
      <c r="D293" s="9"/>
      <c r="E293" s="9" t="s">
        <v>16</v>
      </c>
      <c r="F293" s="9"/>
      <c r="G293" s="9"/>
      <c r="H293" s="11">
        <v>1</v>
      </c>
      <c r="I293" s="18">
        <v>143000</v>
      </c>
      <c r="J293" s="85">
        <v>1</v>
      </c>
      <c r="K293" s="18">
        <f t="shared" si="56"/>
        <v>143000</v>
      </c>
      <c r="L293" s="84"/>
      <c r="N293" s="8">
        <f t="shared" si="55"/>
        <v>143000</v>
      </c>
      <c r="O293" s="7"/>
    </row>
    <row r="294" spans="1:15" s="6" customFormat="1" x14ac:dyDescent="0.25">
      <c r="A294" s="17"/>
      <c r="B294" s="17" t="s">
        <v>17</v>
      </c>
      <c r="C294" s="9"/>
      <c r="D294" s="9"/>
      <c r="E294" s="9" t="s">
        <v>16</v>
      </c>
      <c r="F294" s="9"/>
      <c r="G294" s="9"/>
      <c r="H294" s="11">
        <v>1</v>
      </c>
      <c r="I294" s="18">
        <v>450000</v>
      </c>
      <c r="J294" s="85">
        <v>1</v>
      </c>
      <c r="K294" s="18">
        <f t="shared" si="56"/>
        <v>450000</v>
      </c>
      <c r="L294" s="84"/>
      <c r="N294" s="19">
        <v>450000</v>
      </c>
      <c r="O294" s="7"/>
    </row>
    <row r="295" spans="1:15" s="6" customFormat="1" ht="63" x14ac:dyDescent="0.25">
      <c r="A295" s="17"/>
      <c r="B295" s="20" t="s">
        <v>340</v>
      </c>
      <c r="C295" s="9"/>
      <c r="D295" s="9"/>
      <c r="E295" s="9" t="s">
        <v>10</v>
      </c>
      <c r="F295" s="9"/>
      <c r="G295" s="9" t="s">
        <v>341</v>
      </c>
      <c r="H295" s="11">
        <f>10.4*5.9</f>
        <v>61.360000000000007</v>
      </c>
      <c r="I295" s="18">
        <f>(2901000-38000)*80%</f>
        <v>2290400</v>
      </c>
      <c r="J295" s="85">
        <v>1</v>
      </c>
      <c r="K295" s="18">
        <f t="shared" si="56"/>
        <v>140538944.00000003</v>
      </c>
      <c r="L295" s="84"/>
      <c r="N295" s="8">
        <f t="shared" ref="N295:N313" si="57">+I295</f>
        <v>2290400</v>
      </c>
      <c r="O295" s="7"/>
    </row>
    <row r="296" spans="1:15" s="6" customFormat="1" ht="31.5" x14ac:dyDescent="0.25">
      <c r="A296" s="17"/>
      <c r="B296" s="87" t="s">
        <v>238</v>
      </c>
      <c r="C296" s="9"/>
      <c r="D296" s="9"/>
      <c r="E296" s="9" t="s">
        <v>10</v>
      </c>
      <c r="F296" s="9"/>
      <c r="G296" s="21" t="s">
        <v>85</v>
      </c>
      <c r="H296" s="88">
        <f>10*5.5</f>
        <v>55</v>
      </c>
      <c r="I296" s="12">
        <v>162000</v>
      </c>
      <c r="J296" s="85">
        <v>1</v>
      </c>
      <c r="K296" s="12">
        <f t="shared" si="56"/>
        <v>8910000</v>
      </c>
      <c r="L296" s="84"/>
      <c r="N296" s="8">
        <f t="shared" si="57"/>
        <v>162000</v>
      </c>
      <c r="O296" s="7"/>
    </row>
    <row r="297" spans="1:15" s="6" customFormat="1" x14ac:dyDescent="0.25">
      <c r="A297" s="17"/>
      <c r="B297" s="87" t="s">
        <v>45</v>
      </c>
      <c r="C297" s="9"/>
      <c r="D297" s="9"/>
      <c r="E297" s="9" t="s">
        <v>10</v>
      </c>
      <c r="F297" s="9"/>
      <c r="G297" s="21" t="s">
        <v>85</v>
      </c>
      <c r="H297" s="88">
        <f>-10*5.5</f>
        <v>-55</v>
      </c>
      <c r="I297" s="12">
        <v>102000</v>
      </c>
      <c r="J297" s="85">
        <v>1</v>
      </c>
      <c r="K297" s="12">
        <f t="shared" si="56"/>
        <v>-5610000</v>
      </c>
      <c r="L297" s="84"/>
      <c r="N297" s="8">
        <f t="shared" si="57"/>
        <v>102000</v>
      </c>
      <c r="O297" s="7"/>
    </row>
    <row r="298" spans="1:15" s="6" customFormat="1" ht="31.5" x14ac:dyDescent="0.25">
      <c r="A298" s="17"/>
      <c r="B298" s="87" t="s">
        <v>342</v>
      </c>
      <c r="C298" s="9"/>
      <c r="D298" s="9"/>
      <c r="E298" s="9" t="s">
        <v>10</v>
      </c>
      <c r="F298" s="9"/>
      <c r="G298" s="9" t="s">
        <v>343</v>
      </c>
      <c r="H298" s="11">
        <f>-(10.4*3.6+5.9*3.6)</f>
        <v>-58.680000000000007</v>
      </c>
      <c r="I298" s="12">
        <v>425000</v>
      </c>
      <c r="J298" s="85">
        <v>1</v>
      </c>
      <c r="K298" s="12">
        <f t="shared" si="56"/>
        <v>-24939000.000000004</v>
      </c>
      <c r="L298" s="84"/>
      <c r="N298" s="8">
        <f t="shared" si="57"/>
        <v>425000</v>
      </c>
      <c r="O298" s="7"/>
    </row>
    <row r="299" spans="1:15" s="6" customFormat="1" ht="63" x14ac:dyDescent="0.25">
      <c r="A299" s="17"/>
      <c r="B299" s="20" t="s">
        <v>340</v>
      </c>
      <c r="C299" s="9"/>
      <c r="D299" s="9"/>
      <c r="E299" s="9" t="s">
        <v>10</v>
      </c>
      <c r="F299" s="9"/>
      <c r="G299" s="9" t="s">
        <v>344</v>
      </c>
      <c r="H299" s="11">
        <f>1.9*5.9</f>
        <v>11.21</v>
      </c>
      <c r="I299" s="18">
        <f>(2901000-38000)*80%</f>
        <v>2290400</v>
      </c>
      <c r="J299" s="85">
        <v>1</v>
      </c>
      <c r="K299" s="18">
        <f t="shared" si="56"/>
        <v>25675384.000000004</v>
      </c>
      <c r="L299" s="84"/>
      <c r="N299" s="8">
        <f t="shared" si="57"/>
        <v>2290400</v>
      </c>
      <c r="O299" s="7"/>
    </row>
    <row r="300" spans="1:15" s="6" customFormat="1" ht="31.5" x14ac:dyDescent="0.25">
      <c r="A300" s="17"/>
      <c r="B300" s="87" t="s">
        <v>238</v>
      </c>
      <c r="C300" s="9"/>
      <c r="D300" s="9"/>
      <c r="E300" s="9" t="s">
        <v>10</v>
      </c>
      <c r="F300" s="9"/>
      <c r="G300" s="21" t="s">
        <v>345</v>
      </c>
      <c r="H300" s="88">
        <f>1.5*5.5</f>
        <v>8.25</v>
      </c>
      <c r="I300" s="12">
        <v>162000</v>
      </c>
      <c r="J300" s="85">
        <v>1</v>
      </c>
      <c r="K300" s="12">
        <f t="shared" si="56"/>
        <v>1336500</v>
      </c>
      <c r="L300" s="84"/>
      <c r="N300" s="8">
        <f t="shared" si="57"/>
        <v>162000</v>
      </c>
      <c r="O300" s="7"/>
    </row>
    <row r="301" spans="1:15" s="6" customFormat="1" x14ac:dyDescent="0.25">
      <c r="A301" s="17"/>
      <c r="B301" s="87" t="s">
        <v>45</v>
      </c>
      <c r="C301" s="9"/>
      <c r="D301" s="9"/>
      <c r="E301" s="9" t="s">
        <v>10</v>
      </c>
      <c r="F301" s="9"/>
      <c r="G301" s="21" t="s">
        <v>345</v>
      </c>
      <c r="H301" s="88">
        <f>-1.5*5.5</f>
        <v>-8.25</v>
      </c>
      <c r="I301" s="12">
        <v>102000</v>
      </c>
      <c r="J301" s="85">
        <v>1</v>
      </c>
      <c r="K301" s="12">
        <f t="shared" si="56"/>
        <v>-841500</v>
      </c>
      <c r="L301" s="84"/>
      <c r="N301" s="8">
        <f t="shared" si="57"/>
        <v>102000</v>
      </c>
      <c r="O301" s="7"/>
    </row>
    <row r="302" spans="1:15" s="6" customFormat="1" ht="31.5" x14ac:dyDescent="0.25">
      <c r="A302" s="17"/>
      <c r="B302" s="87" t="s">
        <v>342</v>
      </c>
      <c r="C302" s="9"/>
      <c r="D302" s="9"/>
      <c r="E302" s="9" t="s">
        <v>10</v>
      </c>
      <c r="F302" s="9"/>
      <c r="G302" s="9" t="s">
        <v>346</v>
      </c>
      <c r="H302" s="11">
        <f>-5.9*3.6</f>
        <v>-21.240000000000002</v>
      </c>
      <c r="I302" s="12">
        <v>425000</v>
      </c>
      <c r="J302" s="85">
        <v>1</v>
      </c>
      <c r="K302" s="12">
        <f t="shared" si="56"/>
        <v>-9027000</v>
      </c>
      <c r="L302" s="84"/>
      <c r="N302" s="8">
        <f t="shared" si="57"/>
        <v>425000</v>
      </c>
      <c r="O302" s="7"/>
    </row>
    <row r="303" spans="1:15" s="6" customFormat="1" ht="31.5" x14ac:dyDescent="0.25">
      <c r="A303" s="17"/>
      <c r="B303" s="20" t="s">
        <v>243</v>
      </c>
      <c r="C303" s="9"/>
      <c r="D303" s="9"/>
      <c r="E303" s="9" t="s">
        <v>14</v>
      </c>
      <c r="F303" s="9"/>
      <c r="G303" s="9"/>
      <c r="H303" s="11">
        <v>35</v>
      </c>
      <c r="I303" s="18">
        <v>46000</v>
      </c>
      <c r="J303" s="85">
        <v>1</v>
      </c>
      <c r="K303" s="18">
        <f t="shared" si="56"/>
        <v>1610000</v>
      </c>
      <c r="L303" s="84"/>
      <c r="N303" s="8">
        <f t="shared" si="57"/>
        <v>46000</v>
      </c>
      <c r="O303" s="7"/>
    </row>
    <row r="304" spans="1:15" s="6" customFormat="1" ht="31.5" x14ac:dyDescent="0.25">
      <c r="A304" s="17"/>
      <c r="B304" s="20" t="s">
        <v>63</v>
      </c>
      <c r="C304" s="9"/>
      <c r="D304" s="9"/>
      <c r="E304" s="9" t="s">
        <v>14</v>
      </c>
      <c r="F304" s="9"/>
      <c r="G304" s="9"/>
      <c r="H304" s="11">
        <v>48</v>
      </c>
      <c r="I304" s="18">
        <v>6000</v>
      </c>
      <c r="J304" s="85">
        <v>1</v>
      </c>
      <c r="K304" s="18">
        <f t="shared" si="56"/>
        <v>288000</v>
      </c>
      <c r="L304" s="84"/>
      <c r="N304" s="8">
        <f t="shared" si="57"/>
        <v>6000</v>
      </c>
      <c r="O304" s="7" t="s">
        <v>804</v>
      </c>
    </row>
    <row r="305" spans="1:15" s="6" customFormat="1" ht="31.5" x14ac:dyDescent="0.25">
      <c r="A305" s="9"/>
      <c r="B305" s="17" t="s">
        <v>347</v>
      </c>
      <c r="C305" s="9"/>
      <c r="D305" s="9"/>
      <c r="E305" s="9" t="s">
        <v>15</v>
      </c>
      <c r="F305" s="17" t="s">
        <v>43</v>
      </c>
      <c r="G305" s="21" t="s">
        <v>654</v>
      </c>
      <c r="H305" s="22">
        <f>(1.2*1.2*0.15+0.7*0.7*0.25+0.9*0.25*0.25)*2</f>
        <v>0.78949999999999998</v>
      </c>
      <c r="I305" s="18">
        <v>4282000</v>
      </c>
      <c r="J305" s="85">
        <v>1</v>
      </c>
      <c r="K305" s="18">
        <f>H305*I305</f>
        <v>3380639</v>
      </c>
      <c r="L305" s="84"/>
      <c r="N305" s="8">
        <f t="shared" si="57"/>
        <v>4282000</v>
      </c>
      <c r="O305" s="7" t="s">
        <v>804</v>
      </c>
    </row>
    <row r="306" spans="1:15" s="6" customFormat="1" ht="31.5" x14ac:dyDescent="0.25">
      <c r="A306" s="9"/>
      <c r="B306" s="20" t="s">
        <v>348</v>
      </c>
      <c r="C306" s="9"/>
      <c r="D306" s="9"/>
      <c r="E306" s="9" t="s">
        <v>15</v>
      </c>
      <c r="F306" s="17"/>
      <c r="G306" s="21" t="s">
        <v>349</v>
      </c>
      <c r="H306" s="22">
        <f>(6.9*2+5.1*2)*0.25*(2.5-1.2)</f>
        <v>7.8000000000000007</v>
      </c>
      <c r="I306" s="18">
        <v>914000</v>
      </c>
      <c r="J306" s="85">
        <v>1</v>
      </c>
      <c r="K306" s="18">
        <f>H306*I306</f>
        <v>7129200.0000000009</v>
      </c>
      <c r="L306" s="84"/>
      <c r="N306" s="8">
        <f t="shared" si="57"/>
        <v>914000</v>
      </c>
      <c r="O306" s="7"/>
    </row>
    <row r="307" spans="1:15" s="6" customFormat="1" x14ac:dyDescent="0.25">
      <c r="A307" s="9"/>
      <c r="B307" s="17" t="s">
        <v>350</v>
      </c>
      <c r="C307" s="9"/>
      <c r="D307" s="9"/>
      <c r="E307" s="9" t="s">
        <v>15</v>
      </c>
      <c r="F307" s="9"/>
      <c r="G307" s="9" t="s">
        <v>655</v>
      </c>
      <c r="H307" s="24">
        <f>(6.9*5.1-7.8)-(2.5-1.2)</f>
        <v>26.089999999999996</v>
      </c>
      <c r="I307" s="18">
        <v>127000</v>
      </c>
      <c r="J307" s="85">
        <v>1</v>
      </c>
      <c r="K307" s="18">
        <f t="shared" ref="K307" si="58">H307*I307</f>
        <v>3313429.9999999995</v>
      </c>
      <c r="L307" s="84"/>
      <c r="N307" s="8">
        <f t="shared" si="57"/>
        <v>127000</v>
      </c>
      <c r="O307" s="7" t="s">
        <v>808</v>
      </c>
    </row>
    <row r="308" spans="1:15" s="191" customFormat="1" x14ac:dyDescent="0.25">
      <c r="A308" s="195"/>
      <c r="B308" s="186" t="s">
        <v>803</v>
      </c>
      <c r="C308" s="185"/>
      <c r="D308" s="185"/>
      <c r="E308" s="185" t="s">
        <v>47</v>
      </c>
      <c r="F308" s="185"/>
      <c r="G308" s="185"/>
      <c r="H308" s="187">
        <v>6</v>
      </c>
      <c r="I308" s="188">
        <v>2000000</v>
      </c>
      <c r="J308" s="189">
        <v>1</v>
      </c>
      <c r="K308" s="188">
        <f t="shared" si="56"/>
        <v>12000000</v>
      </c>
      <c r="L308" s="190"/>
      <c r="N308" s="192">
        <f t="shared" si="57"/>
        <v>2000000</v>
      </c>
      <c r="O308" s="193"/>
    </row>
    <row r="309" spans="1:15" s="191" customFormat="1" x14ac:dyDescent="0.25">
      <c r="A309" s="195"/>
      <c r="B309" s="186" t="s">
        <v>48</v>
      </c>
      <c r="C309" s="194"/>
      <c r="D309" s="185"/>
      <c r="E309" s="185" t="s">
        <v>49</v>
      </c>
      <c r="F309" s="185"/>
      <c r="G309" s="185"/>
      <c r="H309" s="187">
        <v>1</v>
      </c>
      <c r="I309" s="188">
        <v>5000000</v>
      </c>
      <c r="J309" s="189">
        <v>1</v>
      </c>
      <c r="K309" s="188">
        <f t="shared" si="56"/>
        <v>5000000</v>
      </c>
      <c r="L309" s="190"/>
      <c r="N309" s="192">
        <f t="shared" si="57"/>
        <v>5000000</v>
      </c>
      <c r="O309" s="193"/>
    </row>
    <row r="310" spans="1:15" s="6" customFormat="1" ht="30.75" customHeight="1" x14ac:dyDescent="0.25">
      <c r="A310" s="9"/>
      <c r="B310" s="17" t="s">
        <v>469</v>
      </c>
      <c r="C310" s="9"/>
      <c r="D310" s="9"/>
      <c r="E310" s="9" t="s">
        <v>15</v>
      </c>
      <c r="F310" s="21" t="s">
        <v>637</v>
      </c>
      <c r="G310" s="21" t="s">
        <v>656</v>
      </c>
      <c r="H310" s="22">
        <f>(5.1*1+1.9*2)*0.25*(1.9-1.2)</f>
        <v>1.5574999999999997</v>
      </c>
      <c r="I310" s="12">
        <v>914000</v>
      </c>
      <c r="J310" s="85">
        <v>1</v>
      </c>
      <c r="K310" s="18">
        <f t="shared" si="56"/>
        <v>1423554.9999999998</v>
      </c>
      <c r="L310" s="84"/>
      <c r="N310" s="8">
        <f t="shared" si="57"/>
        <v>914000</v>
      </c>
      <c r="O310" s="7"/>
    </row>
    <row r="311" spans="1:15" s="6" customFormat="1" ht="31.5" x14ac:dyDescent="0.25">
      <c r="A311" s="9"/>
      <c r="B311" s="17" t="s">
        <v>638</v>
      </c>
      <c r="C311" s="9"/>
      <c r="D311" s="9"/>
      <c r="E311" s="9" t="s">
        <v>15</v>
      </c>
      <c r="F311" s="21" t="s">
        <v>637</v>
      </c>
      <c r="G311" s="9" t="s">
        <v>657</v>
      </c>
      <c r="H311" s="24">
        <f>(5.1*1.9-1.56)*(1.9-1.2)</f>
        <v>5.6909999999999989</v>
      </c>
      <c r="I311" s="12">
        <v>127000</v>
      </c>
      <c r="J311" s="85">
        <v>1</v>
      </c>
      <c r="K311" s="12">
        <f t="shared" si="56"/>
        <v>722756.99999999988</v>
      </c>
      <c r="L311" s="84"/>
      <c r="N311" s="8">
        <f t="shared" si="57"/>
        <v>127000</v>
      </c>
      <c r="O311" s="7" t="s">
        <v>808</v>
      </c>
    </row>
    <row r="312" spans="1:15" s="6" customFormat="1" ht="30.75" customHeight="1" x14ac:dyDescent="0.25">
      <c r="A312" s="9"/>
      <c r="B312" s="17" t="s">
        <v>469</v>
      </c>
      <c r="C312" s="9"/>
      <c r="D312" s="9"/>
      <c r="E312" s="9" t="s">
        <v>15</v>
      </c>
      <c r="F312" s="21" t="s">
        <v>637</v>
      </c>
      <c r="G312" s="21" t="s">
        <v>658</v>
      </c>
      <c r="H312" s="22">
        <f>(5.1+10.4*2)*0.25*(1.9-1.2)</f>
        <v>4.5324999999999998</v>
      </c>
      <c r="I312" s="12">
        <v>914000</v>
      </c>
      <c r="J312" s="85">
        <v>1</v>
      </c>
      <c r="K312" s="18">
        <f t="shared" ref="K312:K313" si="59">H312*I312</f>
        <v>4142705</v>
      </c>
      <c r="L312" s="84"/>
      <c r="N312" s="8">
        <f t="shared" si="57"/>
        <v>914000</v>
      </c>
      <c r="O312" s="7"/>
    </row>
    <row r="313" spans="1:15" s="6" customFormat="1" ht="31.5" x14ac:dyDescent="0.25">
      <c r="A313" s="9"/>
      <c r="B313" s="17" t="s">
        <v>638</v>
      </c>
      <c r="C313" s="9"/>
      <c r="D313" s="9"/>
      <c r="E313" s="9" t="s">
        <v>15</v>
      </c>
      <c r="F313" s="21" t="s">
        <v>637</v>
      </c>
      <c r="G313" s="9" t="s">
        <v>659</v>
      </c>
      <c r="H313" s="24">
        <f>(5.1*1.9-1.56)*(1.9-1.2)</f>
        <v>5.6909999999999989</v>
      </c>
      <c r="I313" s="12">
        <v>127000</v>
      </c>
      <c r="J313" s="85">
        <v>1</v>
      </c>
      <c r="K313" s="12">
        <f t="shared" si="59"/>
        <v>722756.99999999988</v>
      </c>
      <c r="L313" s="84"/>
      <c r="N313" s="8">
        <f t="shared" si="57"/>
        <v>127000</v>
      </c>
      <c r="O313" s="7" t="s">
        <v>808</v>
      </c>
    </row>
    <row r="314" spans="1:15" s="6" customFormat="1" ht="15.75" customHeight="1" x14ac:dyDescent="0.25">
      <c r="A314" s="13">
        <v>16</v>
      </c>
      <c r="B314" s="14" t="s">
        <v>351</v>
      </c>
      <c r="C314" s="13">
        <v>105</v>
      </c>
      <c r="D314" s="13">
        <v>2</v>
      </c>
      <c r="E314" s="13"/>
      <c r="F314" s="13"/>
      <c r="G314" s="9"/>
      <c r="H314" s="15"/>
      <c r="I314" s="16"/>
      <c r="J314" s="39"/>
      <c r="K314" s="16">
        <f>SUM(K315:K356)</f>
        <v>2205127946.46</v>
      </c>
      <c r="L314" s="84"/>
      <c r="N314" s="7"/>
      <c r="O314" s="7"/>
    </row>
    <row r="315" spans="1:15" s="139" customFormat="1" ht="15.75" customHeight="1" x14ac:dyDescent="0.25">
      <c r="A315" s="133"/>
      <c r="B315" s="134" t="s">
        <v>9</v>
      </c>
      <c r="C315" s="133"/>
      <c r="D315" s="133"/>
      <c r="E315" s="133" t="s">
        <v>10</v>
      </c>
      <c r="F315" s="133"/>
      <c r="G315" s="133"/>
      <c r="H315" s="135">
        <v>120</v>
      </c>
      <c r="I315" s="136">
        <v>8400000</v>
      </c>
      <c r="J315" s="137">
        <v>1</v>
      </c>
      <c r="K315" s="141">
        <f>H315*I315</f>
        <v>1008000000</v>
      </c>
      <c r="L315" s="138"/>
      <c r="M315" s="6"/>
      <c r="N315" s="8">
        <f>+I315</f>
        <v>8400000</v>
      </c>
      <c r="O315" s="7"/>
    </row>
    <row r="316" spans="1:15" s="6" customFormat="1" ht="126" customHeight="1" x14ac:dyDescent="0.25">
      <c r="A316" s="9"/>
      <c r="B316" s="10" t="s">
        <v>352</v>
      </c>
      <c r="C316" s="9"/>
      <c r="D316" s="9"/>
      <c r="E316" s="9"/>
      <c r="F316" s="9"/>
      <c r="G316" s="9"/>
      <c r="H316" s="11"/>
      <c r="I316" s="84"/>
      <c r="J316" s="85">
        <v>1</v>
      </c>
      <c r="K316" s="84"/>
      <c r="L316" s="84"/>
      <c r="N316" s="7"/>
      <c r="O316" s="7"/>
    </row>
    <row r="317" spans="1:15" s="6" customFormat="1" ht="15.75" customHeight="1" x14ac:dyDescent="0.25">
      <c r="A317" s="17"/>
      <c r="B317" s="100" t="s">
        <v>353</v>
      </c>
      <c r="C317" s="9"/>
      <c r="D317" s="9"/>
      <c r="E317" s="9" t="s">
        <v>10</v>
      </c>
      <c r="F317" s="9"/>
      <c r="G317" s="9" t="s">
        <v>354</v>
      </c>
      <c r="H317" s="11">
        <f>6.12*20.7</f>
        <v>126.684</v>
      </c>
      <c r="I317" s="12">
        <f>5329000+32000*4</f>
        <v>5457000</v>
      </c>
      <c r="J317" s="85">
        <v>1</v>
      </c>
      <c r="K317" s="12">
        <f>H317*I317</f>
        <v>691314588</v>
      </c>
      <c r="L317" s="84"/>
      <c r="N317" s="8">
        <f>+I317</f>
        <v>5457000</v>
      </c>
      <c r="O317" s="7"/>
    </row>
    <row r="318" spans="1:15" s="6" customFormat="1" ht="15.75" customHeight="1" x14ac:dyDescent="0.25">
      <c r="A318" s="17"/>
      <c r="B318" s="100" t="s">
        <v>355</v>
      </c>
      <c r="C318" s="9"/>
      <c r="D318" s="9"/>
      <c r="E318" s="9" t="s">
        <v>10</v>
      </c>
      <c r="F318" s="9"/>
      <c r="G318" s="9" t="s">
        <v>356</v>
      </c>
      <c r="H318" s="24">
        <f>4.5*6.02+3.6*1.9</f>
        <v>33.929999999999993</v>
      </c>
      <c r="I318" s="84">
        <v>5329000</v>
      </c>
      <c r="J318" s="85">
        <v>1</v>
      </c>
      <c r="K318" s="84">
        <f>H318*I318</f>
        <v>180812969.99999997</v>
      </c>
      <c r="L318" s="84"/>
      <c r="N318" s="8">
        <f>+I318</f>
        <v>5329000</v>
      </c>
      <c r="O318" s="7"/>
    </row>
    <row r="319" spans="1:15" s="6" customFormat="1" ht="31.5" customHeight="1" x14ac:dyDescent="0.25">
      <c r="A319" s="17"/>
      <c r="B319" s="87" t="s">
        <v>323</v>
      </c>
      <c r="C319" s="9"/>
      <c r="D319" s="9"/>
      <c r="E319" s="9" t="s">
        <v>10</v>
      </c>
      <c r="F319" s="9"/>
      <c r="G319" s="9" t="s">
        <v>357</v>
      </c>
      <c r="H319" s="88">
        <f>10.6*5.8+6.2*5.8+4.1*5.8</f>
        <v>121.22</v>
      </c>
      <c r="I319" s="12">
        <v>198000</v>
      </c>
      <c r="J319" s="85">
        <v>1</v>
      </c>
      <c r="K319" s="12">
        <f>H319*I319</f>
        <v>24001560</v>
      </c>
      <c r="L319" s="84"/>
      <c r="N319" s="8">
        <f>+I319</f>
        <v>198000</v>
      </c>
      <c r="O319" s="7"/>
    </row>
    <row r="320" spans="1:15" s="6" customFormat="1" ht="15.75" customHeight="1" x14ac:dyDescent="0.25">
      <c r="A320" s="17"/>
      <c r="B320" s="87" t="s">
        <v>332</v>
      </c>
      <c r="C320" s="9"/>
      <c r="D320" s="9"/>
      <c r="E320" s="9" t="s">
        <v>10</v>
      </c>
      <c r="F320" s="9"/>
      <c r="G320" s="9" t="s">
        <v>357</v>
      </c>
      <c r="H320" s="88">
        <f>-(10.6*5.8+6.2*5.8+4.1*5.8)</f>
        <v>-121.22</v>
      </c>
      <c r="I320" s="12">
        <v>144000</v>
      </c>
      <c r="J320" s="85">
        <v>1</v>
      </c>
      <c r="K320" s="12">
        <f>H320*I320</f>
        <v>-17455680</v>
      </c>
      <c r="L320" s="84"/>
      <c r="N320" s="8">
        <f>+I320</f>
        <v>144000</v>
      </c>
      <c r="O320" s="7"/>
    </row>
    <row r="321" spans="1:15" s="6" customFormat="1" ht="63" customHeight="1" x14ac:dyDescent="0.25">
      <c r="A321" s="17"/>
      <c r="B321" s="10" t="s">
        <v>358</v>
      </c>
      <c r="C321" s="9"/>
      <c r="D321" s="9"/>
      <c r="E321" s="9"/>
      <c r="F321" s="9"/>
      <c r="G321" s="9"/>
      <c r="H321" s="11"/>
      <c r="I321" s="18"/>
      <c r="J321" s="85">
        <v>1</v>
      </c>
      <c r="K321" s="18"/>
      <c r="L321" s="84"/>
      <c r="N321" s="7"/>
      <c r="O321" s="7"/>
    </row>
    <row r="322" spans="1:15" s="6" customFormat="1" ht="15.75" customHeight="1" x14ac:dyDescent="0.25">
      <c r="A322" s="17"/>
      <c r="B322" s="101" t="s">
        <v>359</v>
      </c>
      <c r="C322" s="9"/>
      <c r="D322" s="9"/>
      <c r="E322" s="9" t="s">
        <v>10</v>
      </c>
      <c r="F322" s="9"/>
      <c r="G322" s="9" t="s">
        <v>360</v>
      </c>
      <c r="H322" s="22">
        <f>(4.5+9.3)*6.02+0.3*10.6</f>
        <v>86.256</v>
      </c>
      <c r="I322" s="12">
        <f>(2552000-38000)*80%</f>
        <v>2011200</v>
      </c>
      <c r="J322" s="85">
        <v>1</v>
      </c>
      <c r="K322" s="12">
        <f t="shared" ref="K322:K356" si="60">H322*I322</f>
        <v>173478067.19999999</v>
      </c>
      <c r="L322" s="84"/>
      <c r="N322" s="8">
        <f>+I322</f>
        <v>2011200</v>
      </c>
      <c r="O322" s="7"/>
    </row>
    <row r="323" spans="1:15" s="6" customFormat="1" ht="31.5" customHeight="1" x14ac:dyDescent="0.25">
      <c r="A323" s="17"/>
      <c r="B323" s="87" t="s">
        <v>323</v>
      </c>
      <c r="C323" s="9"/>
      <c r="D323" s="9"/>
      <c r="E323" s="9" t="s">
        <v>10</v>
      </c>
      <c r="F323" s="9"/>
      <c r="G323" s="9" t="s">
        <v>361</v>
      </c>
      <c r="H323" s="22">
        <f>(4.3+9)*5.8</f>
        <v>77.14</v>
      </c>
      <c r="I323" s="12">
        <v>198000</v>
      </c>
      <c r="J323" s="85">
        <v>1</v>
      </c>
      <c r="K323" s="12">
        <f t="shared" si="60"/>
        <v>15273720</v>
      </c>
      <c r="L323" s="84"/>
      <c r="N323" s="8">
        <f t="shared" ref="N323:N331" si="61">+I323</f>
        <v>198000</v>
      </c>
      <c r="O323" s="7"/>
    </row>
    <row r="324" spans="1:15" s="6" customFormat="1" ht="15.75" customHeight="1" x14ac:dyDescent="0.25">
      <c r="A324" s="17"/>
      <c r="B324" s="87" t="s">
        <v>45</v>
      </c>
      <c r="C324" s="9"/>
      <c r="D324" s="9"/>
      <c r="E324" s="9" t="s">
        <v>10</v>
      </c>
      <c r="F324" s="9"/>
      <c r="G324" s="9" t="s">
        <v>361</v>
      </c>
      <c r="H324" s="22">
        <f>-(4.3+9)*5.8</f>
        <v>-77.14</v>
      </c>
      <c r="I324" s="12">
        <v>102000</v>
      </c>
      <c r="J324" s="85">
        <v>1</v>
      </c>
      <c r="K324" s="12">
        <f t="shared" si="60"/>
        <v>-7868280</v>
      </c>
      <c r="L324" s="84"/>
      <c r="N324" s="8">
        <f t="shared" si="61"/>
        <v>102000</v>
      </c>
      <c r="O324" s="7"/>
    </row>
    <row r="325" spans="1:15" s="6" customFormat="1" ht="31.5" customHeight="1" x14ac:dyDescent="0.25">
      <c r="A325" s="17"/>
      <c r="B325" s="87" t="s">
        <v>106</v>
      </c>
      <c r="C325" s="9"/>
      <c r="D325" s="9"/>
      <c r="E325" s="9" t="s">
        <v>10</v>
      </c>
      <c r="F325" s="9"/>
      <c r="G325" s="9" t="s">
        <v>362</v>
      </c>
      <c r="H325" s="11">
        <f>-(6.02*3.6+6.02*3.6*2)</f>
        <v>-65.016000000000005</v>
      </c>
      <c r="I325" s="12">
        <v>255000</v>
      </c>
      <c r="J325" s="85">
        <v>1</v>
      </c>
      <c r="K325" s="12">
        <f t="shared" si="60"/>
        <v>-16579080.000000002</v>
      </c>
      <c r="L325" s="84"/>
      <c r="N325" s="8">
        <f t="shared" si="61"/>
        <v>255000</v>
      </c>
      <c r="O325" s="7"/>
    </row>
    <row r="326" spans="1:15" s="6" customFormat="1" ht="31.5" customHeight="1" x14ac:dyDescent="0.25">
      <c r="A326" s="17"/>
      <c r="B326" s="20" t="s">
        <v>363</v>
      </c>
      <c r="C326" s="9"/>
      <c r="D326" s="9"/>
      <c r="E326" s="9" t="s">
        <v>10</v>
      </c>
      <c r="F326" s="9"/>
      <c r="G326" s="9" t="s">
        <v>364</v>
      </c>
      <c r="H326" s="11">
        <f>(2.6*2+6.02)*0.8</f>
        <v>8.9759999999999991</v>
      </c>
      <c r="I326" s="18">
        <v>425000</v>
      </c>
      <c r="J326" s="85">
        <v>1</v>
      </c>
      <c r="K326" s="18">
        <f t="shared" si="60"/>
        <v>3814799.9999999995</v>
      </c>
      <c r="L326" s="84"/>
      <c r="N326" s="8">
        <f t="shared" si="61"/>
        <v>425000</v>
      </c>
      <c r="O326" s="7"/>
    </row>
    <row r="327" spans="1:15" s="6" customFormat="1" ht="18" customHeight="1" x14ac:dyDescent="0.25">
      <c r="A327" s="17"/>
      <c r="B327" s="20" t="s">
        <v>365</v>
      </c>
      <c r="C327" s="9"/>
      <c r="D327" s="9"/>
      <c r="E327" s="9" t="s">
        <v>10</v>
      </c>
      <c r="F327" s="9"/>
      <c r="G327" s="9" t="s">
        <v>366</v>
      </c>
      <c r="H327" s="11">
        <f>2.8*6.02</f>
        <v>16.855999999999998</v>
      </c>
      <c r="I327" s="18">
        <v>198000</v>
      </c>
      <c r="J327" s="85">
        <v>1</v>
      </c>
      <c r="K327" s="18">
        <f t="shared" si="60"/>
        <v>3337487.9999999995</v>
      </c>
      <c r="L327" s="84"/>
      <c r="N327" s="8">
        <f t="shared" si="61"/>
        <v>198000</v>
      </c>
      <c r="O327" s="7"/>
    </row>
    <row r="328" spans="1:15" s="6" customFormat="1" ht="15.75" customHeight="1" x14ac:dyDescent="0.25">
      <c r="A328" s="17"/>
      <c r="B328" s="17" t="s">
        <v>367</v>
      </c>
      <c r="C328" s="9"/>
      <c r="D328" s="9"/>
      <c r="E328" s="9" t="s">
        <v>10</v>
      </c>
      <c r="F328" s="9"/>
      <c r="G328" s="9" t="s">
        <v>368</v>
      </c>
      <c r="H328" s="11">
        <f>5.3*10.6</f>
        <v>56.18</v>
      </c>
      <c r="I328" s="18">
        <v>171000</v>
      </c>
      <c r="J328" s="85">
        <v>1</v>
      </c>
      <c r="K328" s="18">
        <f t="shared" si="60"/>
        <v>9606780</v>
      </c>
      <c r="L328" s="84"/>
      <c r="N328" s="8">
        <f t="shared" si="61"/>
        <v>171000</v>
      </c>
      <c r="O328" s="7"/>
    </row>
    <row r="329" spans="1:15" s="6" customFormat="1" ht="15.75" customHeight="1" x14ac:dyDescent="0.25">
      <c r="A329" s="17"/>
      <c r="B329" s="20" t="s">
        <v>369</v>
      </c>
      <c r="C329" s="9"/>
      <c r="D329" s="9"/>
      <c r="E329" s="9" t="s">
        <v>14</v>
      </c>
      <c r="F329" s="9"/>
      <c r="G329" s="9"/>
      <c r="H329" s="11">
        <v>36</v>
      </c>
      <c r="I329" s="18">
        <v>6000</v>
      </c>
      <c r="J329" s="85">
        <v>1</v>
      </c>
      <c r="K329" s="18">
        <f t="shared" si="60"/>
        <v>216000</v>
      </c>
      <c r="L329" s="84"/>
      <c r="N329" s="8">
        <f t="shared" si="61"/>
        <v>6000</v>
      </c>
      <c r="O329" s="7" t="s">
        <v>804</v>
      </c>
    </row>
    <row r="330" spans="1:15" s="6" customFormat="1" ht="15.75" customHeight="1" x14ac:dyDescent="0.25">
      <c r="A330" s="17"/>
      <c r="B330" s="17" t="s">
        <v>12</v>
      </c>
      <c r="C330" s="9"/>
      <c r="D330" s="9"/>
      <c r="E330" s="121" t="s">
        <v>14</v>
      </c>
      <c r="F330" s="121" t="s">
        <v>370</v>
      </c>
      <c r="G330" s="9" t="s">
        <v>46</v>
      </c>
      <c r="H330" s="11">
        <v>50</v>
      </c>
      <c r="I330" s="18">
        <v>136000</v>
      </c>
      <c r="J330" s="85">
        <v>1</v>
      </c>
      <c r="K330" s="18">
        <f t="shared" si="60"/>
        <v>6800000</v>
      </c>
      <c r="L330" s="84"/>
      <c r="N330" s="8">
        <f t="shared" si="61"/>
        <v>136000</v>
      </c>
      <c r="O330" s="7"/>
    </row>
    <row r="331" spans="1:15" s="6" customFormat="1" ht="15.75" customHeight="1" x14ac:dyDescent="0.25">
      <c r="A331" s="17"/>
      <c r="B331" s="98" t="s">
        <v>64</v>
      </c>
      <c r="C331" s="9"/>
      <c r="D331" s="9"/>
      <c r="E331" s="121"/>
      <c r="F331" s="121"/>
      <c r="G331" s="9"/>
      <c r="H331" s="11">
        <v>5</v>
      </c>
      <c r="I331" s="18">
        <v>245000</v>
      </c>
      <c r="J331" s="85">
        <v>1</v>
      </c>
      <c r="K331" s="18">
        <f t="shared" si="60"/>
        <v>1225000</v>
      </c>
      <c r="L331" s="84"/>
      <c r="N331" s="8">
        <f t="shared" si="61"/>
        <v>245000</v>
      </c>
      <c r="O331" s="7"/>
    </row>
    <row r="332" spans="1:15" s="6" customFormat="1" ht="31.5" customHeight="1" x14ac:dyDescent="0.25">
      <c r="A332" s="17"/>
      <c r="B332" s="20" t="s">
        <v>371</v>
      </c>
      <c r="C332" s="9"/>
      <c r="D332" s="9"/>
      <c r="E332" s="9" t="s">
        <v>15</v>
      </c>
      <c r="F332" s="9" t="s">
        <v>338</v>
      </c>
      <c r="G332" s="9" t="s">
        <v>372</v>
      </c>
      <c r="H332" s="11">
        <f>3.1*1.7*0.15</f>
        <v>0.79049999999999987</v>
      </c>
      <c r="I332" s="18">
        <v>3462000</v>
      </c>
      <c r="J332" s="85">
        <v>1</v>
      </c>
      <c r="K332" s="18">
        <f>H332*I332</f>
        <v>2736710.9999999995</v>
      </c>
      <c r="L332" s="84"/>
      <c r="N332" s="8">
        <f>+I332</f>
        <v>3462000</v>
      </c>
      <c r="O332" s="7" t="s">
        <v>804</v>
      </c>
    </row>
    <row r="333" spans="1:15" s="6" customFormat="1" ht="15.75" customHeight="1" x14ac:dyDescent="0.25">
      <c r="A333" s="17"/>
      <c r="B333" s="17" t="s">
        <v>256</v>
      </c>
      <c r="C333" s="9"/>
      <c r="D333" s="9"/>
      <c r="E333" s="9" t="s">
        <v>16</v>
      </c>
      <c r="F333" s="9"/>
      <c r="G333" s="9"/>
      <c r="H333" s="11">
        <v>2</v>
      </c>
      <c r="I333" s="18">
        <v>143000</v>
      </c>
      <c r="J333" s="85">
        <v>1</v>
      </c>
      <c r="K333" s="18">
        <f t="shared" si="60"/>
        <v>286000</v>
      </c>
      <c r="L333" s="84"/>
      <c r="N333" s="8">
        <f>+I333</f>
        <v>143000</v>
      </c>
      <c r="O333" s="7"/>
    </row>
    <row r="334" spans="1:15" s="6" customFormat="1" ht="15.75" customHeight="1" x14ac:dyDescent="0.25">
      <c r="A334" s="17"/>
      <c r="B334" s="17" t="s">
        <v>13</v>
      </c>
      <c r="C334" s="9"/>
      <c r="D334" s="9"/>
      <c r="E334" s="9" t="s">
        <v>16</v>
      </c>
      <c r="F334" s="9"/>
      <c r="G334" s="9"/>
      <c r="H334" s="11">
        <v>2</v>
      </c>
      <c r="I334" s="18">
        <v>350000</v>
      </c>
      <c r="J334" s="85">
        <v>1</v>
      </c>
      <c r="K334" s="18">
        <f t="shared" si="60"/>
        <v>700000</v>
      </c>
      <c r="L334" s="84"/>
      <c r="N334" s="8">
        <f>+I334</f>
        <v>350000</v>
      </c>
      <c r="O334" s="7"/>
    </row>
    <row r="335" spans="1:15" s="6" customFormat="1" ht="15.75" customHeight="1" x14ac:dyDescent="0.25">
      <c r="A335" s="17"/>
      <c r="B335" s="17" t="s">
        <v>17</v>
      </c>
      <c r="C335" s="9"/>
      <c r="D335" s="9"/>
      <c r="E335" s="9" t="s">
        <v>16</v>
      </c>
      <c r="F335" s="9"/>
      <c r="G335" s="9"/>
      <c r="H335" s="11">
        <v>2</v>
      </c>
      <c r="I335" s="18">
        <v>450000</v>
      </c>
      <c r="J335" s="85">
        <v>1</v>
      </c>
      <c r="K335" s="18">
        <f t="shared" si="60"/>
        <v>900000</v>
      </c>
      <c r="L335" s="84"/>
      <c r="N335" s="19">
        <v>450000</v>
      </c>
      <c r="O335" s="7"/>
    </row>
    <row r="336" spans="1:15" s="6" customFormat="1" ht="31.5" customHeight="1" x14ac:dyDescent="0.25">
      <c r="A336" s="17"/>
      <c r="B336" s="20" t="s">
        <v>243</v>
      </c>
      <c r="C336" s="9"/>
      <c r="D336" s="9"/>
      <c r="E336" s="9" t="s">
        <v>14</v>
      </c>
      <c r="F336" s="9"/>
      <c r="G336" s="9"/>
      <c r="H336" s="11">
        <v>30.8</v>
      </c>
      <c r="I336" s="18">
        <v>46000</v>
      </c>
      <c r="J336" s="85">
        <v>1</v>
      </c>
      <c r="K336" s="18">
        <f t="shared" si="60"/>
        <v>1416800</v>
      </c>
      <c r="L336" s="84"/>
      <c r="N336" s="8">
        <f t="shared" ref="N336:N342" si="62">+I336</f>
        <v>46000</v>
      </c>
      <c r="O336" s="7"/>
    </row>
    <row r="337" spans="1:15" s="191" customFormat="1" ht="15.75" customHeight="1" x14ac:dyDescent="0.25">
      <c r="A337" s="195"/>
      <c r="B337" s="186" t="s">
        <v>803</v>
      </c>
      <c r="C337" s="185"/>
      <c r="D337" s="185"/>
      <c r="E337" s="185" t="s">
        <v>47</v>
      </c>
      <c r="F337" s="185"/>
      <c r="G337" s="185"/>
      <c r="H337" s="187">
        <v>6</v>
      </c>
      <c r="I337" s="188">
        <v>2000000</v>
      </c>
      <c r="J337" s="189">
        <v>1</v>
      </c>
      <c r="K337" s="188">
        <f t="shared" si="60"/>
        <v>12000000</v>
      </c>
      <c r="L337" s="190"/>
      <c r="N337" s="192">
        <f t="shared" si="62"/>
        <v>2000000</v>
      </c>
      <c r="O337" s="193"/>
    </row>
    <row r="338" spans="1:15" s="191" customFormat="1" ht="15.75" customHeight="1" x14ac:dyDescent="0.25">
      <c r="A338" s="195"/>
      <c r="B338" s="186" t="s">
        <v>48</v>
      </c>
      <c r="C338" s="185"/>
      <c r="D338" s="185"/>
      <c r="E338" s="185" t="s">
        <v>49</v>
      </c>
      <c r="F338" s="185"/>
      <c r="G338" s="185"/>
      <c r="H338" s="187">
        <v>1</v>
      </c>
      <c r="I338" s="188">
        <v>5000000</v>
      </c>
      <c r="J338" s="189">
        <v>1</v>
      </c>
      <c r="K338" s="188">
        <f t="shared" si="60"/>
        <v>5000000</v>
      </c>
      <c r="L338" s="190"/>
      <c r="N338" s="192">
        <f t="shared" si="62"/>
        <v>5000000</v>
      </c>
      <c r="O338" s="193"/>
    </row>
    <row r="339" spans="1:15" s="6" customFormat="1" ht="47.25" customHeight="1" x14ac:dyDescent="0.25">
      <c r="A339" s="17"/>
      <c r="B339" s="20" t="s">
        <v>373</v>
      </c>
      <c r="C339" s="9"/>
      <c r="D339" s="9"/>
      <c r="E339" s="9" t="s">
        <v>10</v>
      </c>
      <c r="F339" s="9"/>
      <c r="G339" s="21" t="s">
        <v>374</v>
      </c>
      <c r="H339" s="88">
        <f>(9+0.8+1+2.9+0.4)*0.9+(15+0.9+0.3+2.9+0.8+3.3+1.6+0.6*2)*0.9</f>
        <v>36.090000000000003</v>
      </c>
      <c r="I339" s="18">
        <v>227000</v>
      </c>
      <c r="J339" s="85">
        <v>1</v>
      </c>
      <c r="K339" s="18">
        <f t="shared" si="60"/>
        <v>8192430.0000000009</v>
      </c>
      <c r="L339" s="84"/>
      <c r="N339" s="8">
        <f t="shared" si="62"/>
        <v>227000</v>
      </c>
      <c r="O339" s="7"/>
    </row>
    <row r="340" spans="1:15" s="6" customFormat="1" ht="15.75" customHeight="1" x14ac:dyDescent="0.25">
      <c r="A340" s="17"/>
      <c r="B340" s="20" t="s">
        <v>375</v>
      </c>
      <c r="C340" s="9"/>
      <c r="D340" s="9"/>
      <c r="E340" s="9" t="s">
        <v>15</v>
      </c>
      <c r="F340" s="9"/>
      <c r="G340" s="9" t="s">
        <v>376</v>
      </c>
      <c r="H340" s="11">
        <f>0.25*0.25*0.8*4</f>
        <v>0.2</v>
      </c>
      <c r="I340" s="18">
        <v>1145000</v>
      </c>
      <c r="J340" s="85">
        <v>1</v>
      </c>
      <c r="K340" s="18">
        <f t="shared" si="60"/>
        <v>229000</v>
      </c>
      <c r="L340" s="84"/>
      <c r="N340" s="8">
        <f t="shared" si="62"/>
        <v>1145000</v>
      </c>
      <c r="O340" s="7"/>
    </row>
    <row r="341" spans="1:15" s="6" customFormat="1" ht="15.75" customHeight="1" x14ac:dyDescent="0.25">
      <c r="A341" s="17"/>
      <c r="B341" s="20" t="s">
        <v>377</v>
      </c>
      <c r="C341" s="9"/>
      <c r="D341" s="9"/>
      <c r="E341" s="9" t="s">
        <v>10</v>
      </c>
      <c r="F341" s="9"/>
      <c r="G341" s="9" t="s">
        <v>378</v>
      </c>
      <c r="H341" s="11">
        <f>5.5*0.25</f>
        <v>1.375</v>
      </c>
      <c r="I341" s="18">
        <v>162000</v>
      </c>
      <c r="J341" s="85">
        <v>1</v>
      </c>
      <c r="K341" s="18">
        <f t="shared" si="60"/>
        <v>222750</v>
      </c>
      <c r="L341" s="84"/>
      <c r="N341" s="8">
        <f t="shared" si="62"/>
        <v>162000</v>
      </c>
      <c r="O341" s="7"/>
    </row>
    <row r="342" spans="1:15" s="6" customFormat="1" ht="31.5" customHeight="1" x14ac:dyDescent="0.25">
      <c r="A342" s="17"/>
      <c r="B342" s="20" t="s">
        <v>379</v>
      </c>
      <c r="C342" s="9"/>
      <c r="D342" s="9"/>
      <c r="E342" s="9" t="s">
        <v>10</v>
      </c>
      <c r="F342" s="9"/>
      <c r="G342" s="9" t="s">
        <v>380</v>
      </c>
      <c r="H342" s="88">
        <f>0.6*3.1*2+1.1*3.1*2+1.2*0.25*2+1.45*0.3</f>
        <v>11.575000000000001</v>
      </c>
      <c r="I342" s="18">
        <v>221900</v>
      </c>
      <c r="J342" s="85">
        <v>1</v>
      </c>
      <c r="K342" s="18">
        <f t="shared" si="60"/>
        <v>2568492.5000000005</v>
      </c>
      <c r="L342" s="84"/>
      <c r="N342" s="19">
        <f t="shared" si="62"/>
        <v>221900</v>
      </c>
      <c r="O342" s="7"/>
    </row>
    <row r="343" spans="1:15" s="6" customFormat="1" ht="15.75" customHeight="1" x14ac:dyDescent="0.25">
      <c r="A343" s="17"/>
      <c r="B343" s="20" t="s">
        <v>381</v>
      </c>
      <c r="C343" s="9"/>
      <c r="D343" s="9"/>
      <c r="E343" s="9" t="s">
        <v>10</v>
      </c>
      <c r="F343" s="9"/>
      <c r="G343" s="9" t="s">
        <v>382</v>
      </c>
      <c r="H343" s="11">
        <f>1.2*0.25*2+1.45*0.3</f>
        <v>1.0349999999999999</v>
      </c>
      <c r="I343" s="18">
        <v>661000</v>
      </c>
      <c r="J343" s="85">
        <v>1</v>
      </c>
      <c r="K343" s="18">
        <f t="shared" si="60"/>
        <v>684135</v>
      </c>
      <c r="L343" s="84"/>
      <c r="N343" s="19">
        <v>611000</v>
      </c>
      <c r="O343" s="7"/>
    </row>
    <row r="344" spans="1:15" s="6" customFormat="1" ht="15.75" customHeight="1" x14ac:dyDescent="0.25">
      <c r="A344" s="17"/>
      <c r="B344" s="20" t="s">
        <v>383</v>
      </c>
      <c r="C344" s="9"/>
      <c r="D344" s="9"/>
      <c r="E344" s="9" t="s">
        <v>10</v>
      </c>
      <c r="F344" s="9"/>
      <c r="G344" s="9" t="s">
        <v>384</v>
      </c>
      <c r="H344" s="11">
        <f>(2.4+2)*1.5</f>
        <v>6.6000000000000005</v>
      </c>
      <c r="I344" s="18">
        <v>227000</v>
      </c>
      <c r="J344" s="85">
        <v>1</v>
      </c>
      <c r="K344" s="18">
        <f t="shared" si="60"/>
        <v>1498200.0000000002</v>
      </c>
      <c r="L344" s="84"/>
      <c r="N344" s="8">
        <f>+I344</f>
        <v>227000</v>
      </c>
      <c r="O344" s="7"/>
    </row>
    <row r="345" spans="1:15" s="6" customFormat="1" ht="15.75" customHeight="1" x14ac:dyDescent="0.25">
      <c r="A345" s="17"/>
      <c r="B345" s="20" t="s">
        <v>385</v>
      </c>
      <c r="C345" s="9"/>
      <c r="D345" s="9"/>
      <c r="E345" s="9" t="s">
        <v>10</v>
      </c>
      <c r="F345" s="9"/>
      <c r="G345" s="9" t="s">
        <v>386</v>
      </c>
      <c r="H345" s="11">
        <f>(2+1.8)*0.6</f>
        <v>2.2799999999999998</v>
      </c>
      <c r="I345" s="18">
        <v>611000</v>
      </c>
      <c r="J345" s="85">
        <v>1</v>
      </c>
      <c r="K345" s="18">
        <f t="shared" si="60"/>
        <v>1393079.9999999998</v>
      </c>
      <c r="L345" s="84"/>
      <c r="N345" s="8">
        <f>+I345</f>
        <v>611000</v>
      </c>
      <c r="O345" s="7"/>
    </row>
    <row r="346" spans="1:15" s="6" customFormat="1" ht="15.75" customHeight="1" x14ac:dyDescent="0.25">
      <c r="A346" s="17"/>
      <c r="B346" s="20" t="s">
        <v>387</v>
      </c>
      <c r="C346" s="9"/>
      <c r="D346" s="9"/>
      <c r="E346" s="9" t="s">
        <v>10</v>
      </c>
      <c r="F346" s="9"/>
      <c r="G346" s="9" t="s">
        <v>388</v>
      </c>
      <c r="H346" s="11">
        <f>0.6*0.6*3</f>
        <v>1.08</v>
      </c>
      <c r="I346" s="18">
        <v>255000</v>
      </c>
      <c r="J346" s="85">
        <v>1</v>
      </c>
      <c r="K346" s="18">
        <f t="shared" si="60"/>
        <v>275400</v>
      </c>
      <c r="L346" s="84"/>
      <c r="N346" s="8">
        <f>+I346</f>
        <v>255000</v>
      </c>
      <c r="O346" s="7"/>
    </row>
    <row r="347" spans="1:15" s="6" customFormat="1" ht="15.75" customHeight="1" x14ac:dyDescent="0.25">
      <c r="A347" s="17"/>
      <c r="B347" s="20" t="s">
        <v>389</v>
      </c>
      <c r="C347" s="9"/>
      <c r="D347" s="9"/>
      <c r="E347" s="9" t="s">
        <v>15</v>
      </c>
      <c r="F347" s="9" t="s">
        <v>43</v>
      </c>
      <c r="G347" s="9" t="s">
        <v>390</v>
      </c>
      <c r="H347" s="11">
        <f>2*0.6*0.1+1.8*0.6*0.1</f>
        <v>0.22800000000000001</v>
      </c>
      <c r="I347" s="18">
        <v>3341000</v>
      </c>
      <c r="J347" s="85">
        <v>1</v>
      </c>
      <c r="K347" s="18">
        <f t="shared" si="60"/>
        <v>761748</v>
      </c>
      <c r="L347" s="84"/>
      <c r="N347" s="8">
        <f>+I347</f>
        <v>3341000</v>
      </c>
      <c r="O347" s="7" t="s">
        <v>804</v>
      </c>
    </row>
    <row r="348" spans="1:15" s="6" customFormat="1" ht="15.75" customHeight="1" x14ac:dyDescent="0.25">
      <c r="A348" s="17"/>
      <c r="B348" s="20" t="s">
        <v>391</v>
      </c>
      <c r="C348" s="9"/>
      <c r="D348" s="9"/>
      <c r="E348" s="9" t="s">
        <v>14</v>
      </c>
      <c r="F348" s="9"/>
      <c r="G348" s="9" t="s">
        <v>392</v>
      </c>
      <c r="H348" s="24">
        <f>(2.9+3.9)*2+4*2+4.3</f>
        <v>25.900000000000002</v>
      </c>
      <c r="I348" s="18">
        <v>24000</v>
      </c>
      <c r="J348" s="85">
        <v>1</v>
      </c>
      <c r="K348" s="18">
        <f t="shared" si="60"/>
        <v>621600</v>
      </c>
      <c r="L348" s="84"/>
      <c r="N348" s="8">
        <f t="shared" ref="N348:N355" si="63">+I348</f>
        <v>24000</v>
      </c>
      <c r="O348" s="7"/>
    </row>
    <row r="349" spans="1:15" s="6" customFormat="1" ht="15.75" customHeight="1" x14ac:dyDescent="0.25">
      <c r="A349" s="17"/>
      <c r="B349" s="20" t="s">
        <v>393</v>
      </c>
      <c r="C349" s="9"/>
      <c r="D349" s="9"/>
      <c r="E349" s="9" t="s">
        <v>10</v>
      </c>
      <c r="F349" s="9"/>
      <c r="G349" s="9" t="s">
        <v>394</v>
      </c>
      <c r="H349" s="24">
        <f>(0.33+0.25)*1*21</f>
        <v>12.180000000000001</v>
      </c>
      <c r="I349" s="18">
        <v>611000</v>
      </c>
      <c r="J349" s="85">
        <v>1</v>
      </c>
      <c r="K349" s="18">
        <f t="shared" si="60"/>
        <v>7441980.0000000009</v>
      </c>
      <c r="L349" s="84"/>
      <c r="N349" s="8">
        <f t="shared" si="63"/>
        <v>611000</v>
      </c>
      <c r="O349" s="7"/>
    </row>
    <row r="350" spans="1:15" s="6" customFormat="1" ht="15.75" customHeight="1" x14ac:dyDescent="0.25">
      <c r="A350" s="17"/>
      <c r="B350" s="20" t="s">
        <v>395</v>
      </c>
      <c r="C350" s="9"/>
      <c r="D350" s="9"/>
      <c r="E350" s="9" t="s">
        <v>10</v>
      </c>
      <c r="F350" s="9"/>
      <c r="G350" s="9" t="s">
        <v>396</v>
      </c>
      <c r="H350" s="24">
        <f>5*3.5*2</f>
        <v>35</v>
      </c>
      <c r="I350" s="18">
        <v>459000</v>
      </c>
      <c r="J350" s="85">
        <v>1</v>
      </c>
      <c r="K350" s="18">
        <f t="shared" si="60"/>
        <v>16065000</v>
      </c>
      <c r="L350" s="84"/>
      <c r="N350" s="8">
        <f t="shared" si="63"/>
        <v>459000</v>
      </c>
      <c r="O350" s="7"/>
    </row>
    <row r="351" spans="1:15" s="6" customFormat="1" ht="31.5" customHeight="1" x14ac:dyDescent="0.25">
      <c r="A351" s="17"/>
      <c r="B351" s="20" t="s">
        <v>397</v>
      </c>
      <c r="C351" s="9"/>
      <c r="D351" s="9"/>
      <c r="E351" s="9" t="s">
        <v>10</v>
      </c>
      <c r="F351" s="9"/>
      <c r="G351" s="9" t="s">
        <v>398</v>
      </c>
      <c r="H351" s="24">
        <f>5*1.3*2</f>
        <v>13</v>
      </c>
      <c r="I351" s="18">
        <v>331000</v>
      </c>
      <c r="J351" s="85">
        <v>1</v>
      </c>
      <c r="K351" s="18">
        <f t="shared" si="60"/>
        <v>4303000</v>
      </c>
      <c r="L351" s="84"/>
      <c r="N351" s="8">
        <f t="shared" si="63"/>
        <v>331000</v>
      </c>
      <c r="O351" s="7"/>
    </row>
    <row r="352" spans="1:15" s="6" customFormat="1" ht="15.75" customHeight="1" x14ac:dyDescent="0.25">
      <c r="A352" s="17"/>
      <c r="B352" s="17" t="s">
        <v>402</v>
      </c>
      <c r="C352" s="9"/>
      <c r="D352" s="9"/>
      <c r="E352" s="9"/>
      <c r="F352" s="9"/>
      <c r="G352" s="9" t="s">
        <v>403</v>
      </c>
      <c r="H352" s="11">
        <v>1</v>
      </c>
      <c r="I352" s="18">
        <v>278000</v>
      </c>
      <c r="J352" s="85">
        <v>1</v>
      </c>
      <c r="K352" s="18">
        <f t="shared" si="60"/>
        <v>278000</v>
      </c>
      <c r="L352" s="84"/>
      <c r="N352" s="8">
        <f t="shared" si="63"/>
        <v>278000</v>
      </c>
      <c r="O352" s="7"/>
    </row>
    <row r="353" spans="1:15" s="6" customFormat="1" ht="31.5" customHeight="1" x14ac:dyDescent="0.25">
      <c r="A353" s="9"/>
      <c r="B353" s="17" t="s">
        <v>404</v>
      </c>
      <c r="C353" s="9"/>
      <c r="D353" s="9"/>
      <c r="E353" s="9" t="s">
        <v>15</v>
      </c>
      <c r="F353" s="9"/>
      <c r="G353" s="21" t="s">
        <v>405</v>
      </c>
      <c r="H353" s="22">
        <f>(20*2+10+5.7+5*2+5.5*3)*(2.5-1.2)*0.33</f>
        <v>35.263800000000003</v>
      </c>
      <c r="I353" s="12">
        <v>914000</v>
      </c>
      <c r="J353" s="85">
        <v>1</v>
      </c>
      <c r="K353" s="18">
        <f t="shared" si="60"/>
        <v>32231113.200000003</v>
      </c>
      <c r="L353" s="84"/>
      <c r="N353" s="8">
        <f t="shared" si="63"/>
        <v>914000</v>
      </c>
      <c r="O353" s="7"/>
    </row>
    <row r="354" spans="1:15" s="6" customFormat="1" ht="15.75" customHeight="1" x14ac:dyDescent="0.25">
      <c r="A354" s="9"/>
      <c r="B354" s="17" t="s">
        <v>399</v>
      </c>
      <c r="C354" s="9"/>
      <c r="D354" s="9"/>
      <c r="E354" s="9" t="s">
        <v>15</v>
      </c>
      <c r="F354" s="9" t="s">
        <v>338</v>
      </c>
      <c r="G354" s="9" t="s">
        <v>406</v>
      </c>
      <c r="H354" s="24">
        <f>0.22*0.22*13*(2.5-1.2)</f>
        <v>0.81796000000000002</v>
      </c>
      <c r="I354" s="12">
        <v>4334000</v>
      </c>
      <c r="J354" s="85">
        <v>1</v>
      </c>
      <c r="K354" s="12">
        <f t="shared" si="60"/>
        <v>3545038.64</v>
      </c>
      <c r="L354" s="84"/>
      <c r="N354" s="8">
        <f t="shared" si="63"/>
        <v>4334000</v>
      </c>
      <c r="O354" s="7" t="s">
        <v>804</v>
      </c>
    </row>
    <row r="355" spans="1:15" s="6" customFormat="1" ht="32.25" customHeight="1" x14ac:dyDescent="0.25">
      <c r="A355" s="9"/>
      <c r="B355" s="17" t="s">
        <v>400</v>
      </c>
      <c r="C355" s="9"/>
      <c r="D355" s="9"/>
      <c r="E355" s="9" t="s">
        <v>15</v>
      </c>
      <c r="F355" s="9" t="s">
        <v>338</v>
      </c>
      <c r="G355" s="9" t="s">
        <v>401</v>
      </c>
      <c r="H355" s="22">
        <f>0.22*0.22*(20*2+5.5*3+5.2)</f>
        <v>2.9862800000000003</v>
      </c>
      <c r="I355" s="12">
        <v>4334000</v>
      </c>
      <c r="J355" s="85">
        <v>1</v>
      </c>
      <c r="K355" s="12">
        <f t="shared" si="60"/>
        <v>12942537.520000001</v>
      </c>
      <c r="L355" s="84"/>
      <c r="N355" s="8">
        <f t="shared" si="63"/>
        <v>4334000</v>
      </c>
      <c r="O355" s="7" t="s">
        <v>804</v>
      </c>
    </row>
    <row r="356" spans="1:15" s="6" customFormat="1" ht="32.25" customHeight="1" x14ac:dyDescent="0.25">
      <c r="A356" s="9"/>
      <c r="B356" s="17" t="s">
        <v>350</v>
      </c>
      <c r="C356" s="9"/>
      <c r="D356" s="9"/>
      <c r="E356" s="9" t="s">
        <v>15</v>
      </c>
      <c r="F356" s="9"/>
      <c r="G356" s="9" t="s">
        <v>407</v>
      </c>
      <c r="H356" s="22">
        <f>(10*5+10*5.5)*1.3-35.2638</f>
        <v>101.2362</v>
      </c>
      <c r="I356" s="12">
        <v>127000</v>
      </c>
      <c r="J356" s="85">
        <v>1</v>
      </c>
      <c r="K356" s="12">
        <f t="shared" si="60"/>
        <v>12856997.4</v>
      </c>
      <c r="L356" s="84"/>
      <c r="N356" s="8">
        <f>+I356</f>
        <v>127000</v>
      </c>
      <c r="O356" s="7" t="s">
        <v>808</v>
      </c>
    </row>
    <row r="357" spans="1:15" s="6" customFormat="1" ht="15.75" customHeight="1" x14ac:dyDescent="0.25">
      <c r="A357" s="13">
        <v>17</v>
      </c>
      <c r="B357" s="99" t="s">
        <v>466</v>
      </c>
      <c r="C357" s="13">
        <v>94</v>
      </c>
      <c r="D357" s="13">
        <v>2</v>
      </c>
      <c r="E357" s="13"/>
      <c r="F357" s="13"/>
      <c r="G357" s="9"/>
      <c r="H357" s="15"/>
      <c r="I357" s="14"/>
      <c r="J357" s="39"/>
      <c r="K357" s="89">
        <f>SUM(K358:K408)</f>
        <v>1702238220</v>
      </c>
      <c r="L357" s="84"/>
      <c r="N357" s="7"/>
      <c r="O357" s="7"/>
    </row>
    <row r="358" spans="1:15" s="139" customFormat="1" ht="15.75" customHeight="1" x14ac:dyDescent="0.25">
      <c r="A358" s="133"/>
      <c r="B358" s="134" t="s">
        <v>465</v>
      </c>
      <c r="C358" s="133"/>
      <c r="D358" s="133"/>
      <c r="E358" s="133" t="s">
        <v>10</v>
      </c>
      <c r="F358" s="133"/>
      <c r="G358" s="133"/>
      <c r="H358" s="135">
        <v>89</v>
      </c>
      <c r="I358" s="136">
        <v>8400000</v>
      </c>
      <c r="J358" s="137">
        <v>1</v>
      </c>
      <c r="K358" s="141">
        <f>H358*I358</f>
        <v>747600000</v>
      </c>
      <c r="L358" s="138"/>
      <c r="M358" s="6"/>
      <c r="N358" s="8">
        <f>+I358</f>
        <v>8400000</v>
      </c>
      <c r="O358" s="7"/>
    </row>
    <row r="359" spans="1:15" s="6" customFormat="1" ht="15.75" customHeight="1" x14ac:dyDescent="0.25">
      <c r="A359" s="9"/>
      <c r="B359" s="10" t="s">
        <v>464</v>
      </c>
      <c r="C359" s="10"/>
      <c r="D359" s="10"/>
      <c r="E359" s="9" t="s">
        <v>10</v>
      </c>
      <c r="F359" s="9"/>
      <c r="G359" s="9" t="s">
        <v>463</v>
      </c>
      <c r="H359" s="24">
        <f>11.1*0.7+4.6*0.7+3*3*0.7</f>
        <v>17.29</v>
      </c>
      <c r="I359" s="18">
        <v>255000</v>
      </c>
      <c r="J359" s="85">
        <v>1</v>
      </c>
      <c r="K359" s="12">
        <f>H359*I359</f>
        <v>4408950</v>
      </c>
      <c r="L359" s="84"/>
      <c r="N359" s="8">
        <f>+I359</f>
        <v>255000</v>
      </c>
      <c r="O359" s="7"/>
    </row>
    <row r="360" spans="1:15" s="6" customFormat="1" ht="141.75" customHeight="1" x14ac:dyDescent="0.25">
      <c r="A360" s="9"/>
      <c r="B360" s="10" t="s">
        <v>462</v>
      </c>
      <c r="C360" s="10"/>
      <c r="D360" s="10"/>
      <c r="E360" s="9"/>
      <c r="F360" s="9"/>
      <c r="G360" s="9"/>
      <c r="H360" s="11"/>
      <c r="I360" s="18"/>
      <c r="J360" s="85">
        <v>1</v>
      </c>
      <c r="K360" s="12"/>
      <c r="L360" s="84"/>
      <c r="N360" s="7"/>
      <c r="O360" s="7"/>
    </row>
    <row r="361" spans="1:15" s="6" customFormat="1" ht="15.75" customHeight="1" x14ac:dyDescent="0.25">
      <c r="A361" s="9"/>
      <c r="B361" s="87" t="s">
        <v>461</v>
      </c>
      <c r="C361" s="10"/>
      <c r="D361" s="10"/>
      <c r="E361" s="9" t="s">
        <v>10</v>
      </c>
      <c r="F361" s="21"/>
      <c r="G361" s="9" t="s">
        <v>460</v>
      </c>
      <c r="H361" s="11">
        <f>10.7*7</f>
        <v>74.899999999999991</v>
      </c>
      <c r="I361" s="12">
        <f>5329000+192000</f>
        <v>5521000</v>
      </c>
      <c r="J361" s="85">
        <v>1</v>
      </c>
      <c r="K361" s="12">
        <f t="shared" ref="K361:K382" si="64">H361*I361</f>
        <v>413522899.99999994</v>
      </c>
      <c r="L361" s="84"/>
      <c r="N361" s="8">
        <f>+I361</f>
        <v>5521000</v>
      </c>
      <c r="O361" s="7"/>
    </row>
    <row r="362" spans="1:15" s="6" customFormat="1" ht="15.75" customHeight="1" x14ac:dyDescent="0.25">
      <c r="A362" s="9"/>
      <c r="B362" s="87" t="s">
        <v>459</v>
      </c>
      <c r="C362" s="10"/>
      <c r="D362" s="10"/>
      <c r="E362" s="9" t="s">
        <v>10</v>
      </c>
      <c r="F362" s="9"/>
      <c r="G362" s="9" t="s">
        <v>458</v>
      </c>
      <c r="H362" s="24">
        <f>11*5.5 +1.4*2.8</f>
        <v>64.42</v>
      </c>
      <c r="I362" s="18">
        <f>5329000</f>
        <v>5329000</v>
      </c>
      <c r="J362" s="85">
        <v>1</v>
      </c>
      <c r="K362" s="12">
        <f t="shared" si="64"/>
        <v>343294180</v>
      </c>
      <c r="L362" s="84"/>
      <c r="N362" s="8">
        <f>+I362</f>
        <v>5329000</v>
      </c>
      <c r="O362" s="7"/>
    </row>
    <row r="363" spans="1:15" s="6" customFormat="1" ht="31.5" customHeight="1" x14ac:dyDescent="0.25">
      <c r="A363" s="17"/>
      <c r="B363" s="87" t="s">
        <v>238</v>
      </c>
      <c r="C363" s="9"/>
      <c r="D363" s="9"/>
      <c r="E363" s="9" t="s">
        <v>10</v>
      </c>
      <c r="F363" s="9"/>
      <c r="G363" s="9" t="s">
        <v>457</v>
      </c>
      <c r="H363" s="88">
        <f>8.7*6.3+4.9*9.5</f>
        <v>101.36</v>
      </c>
      <c r="I363" s="12">
        <v>198000</v>
      </c>
      <c r="J363" s="85">
        <v>1</v>
      </c>
      <c r="K363" s="12">
        <f t="shared" si="64"/>
        <v>20069280</v>
      </c>
      <c r="L363" s="84"/>
      <c r="N363" s="8">
        <f>+I363</f>
        <v>198000</v>
      </c>
      <c r="O363" s="7"/>
    </row>
    <row r="364" spans="1:15" s="6" customFormat="1" ht="15.75" customHeight="1" x14ac:dyDescent="0.25">
      <c r="A364" s="17"/>
      <c r="B364" s="87" t="s">
        <v>332</v>
      </c>
      <c r="C364" s="9"/>
      <c r="D364" s="9"/>
      <c r="E364" s="9" t="s">
        <v>10</v>
      </c>
      <c r="F364" s="9"/>
      <c r="G364" s="9" t="s">
        <v>457</v>
      </c>
      <c r="H364" s="88">
        <f>-(8.7*6.3+4.9*9.5)</f>
        <v>-101.36</v>
      </c>
      <c r="I364" s="12">
        <v>144000</v>
      </c>
      <c r="J364" s="85">
        <v>1</v>
      </c>
      <c r="K364" s="12">
        <f t="shared" si="64"/>
        <v>-14595840</v>
      </c>
      <c r="L364" s="84"/>
      <c r="N364" s="8">
        <f>+I364</f>
        <v>144000</v>
      </c>
      <c r="O364" s="7"/>
    </row>
    <row r="365" spans="1:15" s="6" customFormat="1" ht="15.75" customHeight="1" x14ac:dyDescent="0.25">
      <c r="A365" s="9"/>
      <c r="B365" s="98" t="s">
        <v>17</v>
      </c>
      <c r="C365" s="98"/>
      <c r="D365" s="98"/>
      <c r="E365" s="9" t="s">
        <v>451</v>
      </c>
      <c r="F365" s="9"/>
      <c r="G365" s="9"/>
      <c r="H365" s="11">
        <v>1</v>
      </c>
      <c r="I365" s="18">
        <v>450000</v>
      </c>
      <c r="J365" s="85">
        <v>1</v>
      </c>
      <c r="K365" s="12">
        <f t="shared" si="64"/>
        <v>450000</v>
      </c>
      <c r="L365" s="84"/>
      <c r="N365" s="19">
        <v>450000</v>
      </c>
      <c r="O365" s="7"/>
    </row>
    <row r="366" spans="1:15" s="6" customFormat="1" ht="15.75" customHeight="1" x14ac:dyDescent="0.25">
      <c r="A366" s="9"/>
      <c r="B366" s="10" t="s">
        <v>13</v>
      </c>
      <c r="C366" s="10"/>
      <c r="D366" s="10"/>
      <c r="E366" s="9" t="s">
        <v>451</v>
      </c>
      <c r="F366" s="9"/>
      <c r="G366" s="9"/>
      <c r="H366" s="11">
        <v>1</v>
      </c>
      <c r="I366" s="18">
        <v>350000</v>
      </c>
      <c r="J366" s="85">
        <v>1</v>
      </c>
      <c r="K366" s="12">
        <f t="shared" si="64"/>
        <v>350000</v>
      </c>
      <c r="L366" s="84"/>
      <c r="N366" s="8">
        <f>+I366</f>
        <v>350000</v>
      </c>
      <c r="O366" s="7"/>
    </row>
    <row r="367" spans="1:15" s="6" customFormat="1" ht="15.75" customHeight="1" x14ac:dyDescent="0.25">
      <c r="A367" s="9"/>
      <c r="B367" s="10" t="s">
        <v>456</v>
      </c>
      <c r="C367" s="10"/>
      <c r="D367" s="10"/>
      <c r="E367" s="9" t="s">
        <v>10</v>
      </c>
      <c r="F367" s="9"/>
      <c r="G367" s="9" t="s">
        <v>455</v>
      </c>
      <c r="H367" s="11">
        <f>8.1*1.4</f>
        <v>11.339999999999998</v>
      </c>
      <c r="I367" s="18">
        <v>136000</v>
      </c>
      <c r="J367" s="85">
        <v>1</v>
      </c>
      <c r="K367" s="12">
        <f t="shared" si="64"/>
        <v>1542239.9999999998</v>
      </c>
      <c r="L367" s="84"/>
      <c r="N367" s="8">
        <f>+I367</f>
        <v>136000</v>
      </c>
      <c r="O367" s="7"/>
    </row>
    <row r="368" spans="1:15" s="6" customFormat="1" ht="15.75" customHeight="1" x14ac:dyDescent="0.25">
      <c r="A368" s="9"/>
      <c r="B368" s="10" t="s">
        <v>454</v>
      </c>
      <c r="C368" s="10"/>
      <c r="D368" s="10"/>
      <c r="E368" s="9" t="s">
        <v>10</v>
      </c>
      <c r="F368" s="9"/>
      <c r="G368" s="9" t="s">
        <v>453</v>
      </c>
      <c r="H368" s="11">
        <f>6.2*0.9</f>
        <v>5.58</v>
      </c>
      <c r="I368" s="18">
        <v>459000</v>
      </c>
      <c r="J368" s="85">
        <v>1</v>
      </c>
      <c r="K368" s="12">
        <f t="shared" si="64"/>
        <v>2561220</v>
      </c>
      <c r="L368" s="84"/>
      <c r="N368" s="8">
        <f>+I368</f>
        <v>459000</v>
      </c>
      <c r="O368" s="7"/>
    </row>
    <row r="369" spans="1:15" s="6" customFormat="1" ht="15.75" customHeight="1" x14ac:dyDescent="0.25">
      <c r="A369" s="9"/>
      <c r="B369" s="10" t="s">
        <v>17</v>
      </c>
      <c r="C369" s="10"/>
      <c r="D369" s="10"/>
      <c r="E369" s="9" t="s">
        <v>451</v>
      </c>
      <c r="F369" s="9"/>
      <c r="G369" s="9"/>
      <c r="H369" s="11">
        <v>1</v>
      </c>
      <c r="I369" s="18">
        <v>450000</v>
      </c>
      <c r="J369" s="85">
        <v>1</v>
      </c>
      <c r="K369" s="12">
        <f t="shared" si="64"/>
        <v>450000</v>
      </c>
      <c r="L369" s="84"/>
      <c r="N369" s="19">
        <v>450000</v>
      </c>
      <c r="O369" s="7"/>
    </row>
    <row r="370" spans="1:15" s="6" customFormat="1" ht="15.75" customHeight="1" x14ac:dyDescent="0.25">
      <c r="A370" s="9"/>
      <c r="B370" s="98" t="s">
        <v>452</v>
      </c>
      <c r="C370" s="98"/>
      <c r="D370" s="98"/>
      <c r="E370" s="9" t="s">
        <v>451</v>
      </c>
      <c r="F370" s="9"/>
      <c r="G370" s="9"/>
      <c r="H370" s="11">
        <v>1</v>
      </c>
      <c r="I370" s="18">
        <v>143000</v>
      </c>
      <c r="J370" s="85">
        <v>1</v>
      </c>
      <c r="K370" s="12">
        <f t="shared" si="64"/>
        <v>143000</v>
      </c>
      <c r="L370" s="84"/>
      <c r="N370" s="8">
        <f t="shared" ref="N370:N380" si="65">+I370</f>
        <v>143000</v>
      </c>
      <c r="O370" s="7"/>
    </row>
    <row r="371" spans="1:15" s="6" customFormat="1" ht="15.75" customHeight="1" x14ac:dyDescent="0.25">
      <c r="A371" s="9"/>
      <c r="B371" s="10" t="s">
        <v>13</v>
      </c>
      <c r="C371" s="10"/>
      <c r="D371" s="10"/>
      <c r="E371" s="9" t="s">
        <v>451</v>
      </c>
      <c r="F371" s="9"/>
      <c r="G371" s="9"/>
      <c r="H371" s="11">
        <v>1</v>
      </c>
      <c r="I371" s="18">
        <v>350000</v>
      </c>
      <c r="J371" s="85">
        <v>1</v>
      </c>
      <c r="K371" s="12">
        <f t="shared" si="64"/>
        <v>350000</v>
      </c>
      <c r="L371" s="84"/>
      <c r="N371" s="8">
        <f t="shared" si="65"/>
        <v>350000</v>
      </c>
      <c r="O371" s="7"/>
    </row>
    <row r="372" spans="1:15" s="6" customFormat="1" ht="15.75" customHeight="1" x14ac:dyDescent="0.25">
      <c r="A372" s="17"/>
      <c r="B372" s="17" t="s">
        <v>12</v>
      </c>
      <c r="C372" s="9"/>
      <c r="D372" s="9"/>
      <c r="E372" s="121" t="s">
        <v>14</v>
      </c>
      <c r="F372" s="121" t="s">
        <v>450</v>
      </c>
      <c r="G372" s="9" t="s">
        <v>46</v>
      </c>
      <c r="H372" s="11">
        <v>50</v>
      </c>
      <c r="I372" s="18">
        <v>136000</v>
      </c>
      <c r="J372" s="85">
        <v>1</v>
      </c>
      <c r="K372" s="18">
        <f t="shared" si="64"/>
        <v>6800000</v>
      </c>
      <c r="L372" s="84"/>
      <c r="N372" s="8">
        <f t="shared" si="65"/>
        <v>136000</v>
      </c>
      <c r="O372" s="7"/>
    </row>
    <row r="373" spans="1:15" s="6" customFormat="1" ht="15.75" customHeight="1" x14ac:dyDescent="0.25">
      <c r="A373" s="17"/>
      <c r="B373" s="98" t="s">
        <v>64</v>
      </c>
      <c r="C373" s="9"/>
      <c r="D373" s="9"/>
      <c r="E373" s="121"/>
      <c r="F373" s="121"/>
      <c r="G373" s="9"/>
      <c r="H373" s="11">
        <v>12</v>
      </c>
      <c r="I373" s="18">
        <v>245000</v>
      </c>
      <c r="J373" s="85">
        <v>1</v>
      </c>
      <c r="K373" s="18">
        <f t="shared" si="64"/>
        <v>2940000</v>
      </c>
      <c r="L373" s="84"/>
      <c r="N373" s="8">
        <f t="shared" si="65"/>
        <v>245000</v>
      </c>
      <c r="O373" s="7"/>
    </row>
    <row r="374" spans="1:15" s="6" customFormat="1" ht="47.25" customHeight="1" x14ac:dyDescent="0.25">
      <c r="A374" s="9"/>
      <c r="B374" s="10" t="s">
        <v>449</v>
      </c>
      <c r="C374" s="10"/>
      <c r="D374" s="10"/>
      <c r="E374" s="9" t="s">
        <v>10</v>
      </c>
      <c r="F374" s="9"/>
      <c r="G374" s="9" t="s">
        <v>448</v>
      </c>
      <c r="H374" s="11">
        <f>7*3</f>
        <v>21</v>
      </c>
      <c r="I374" s="18">
        <f>(2552000-70000-90000)*80%</f>
        <v>1913600</v>
      </c>
      <c r="J374" s="85">
        <v>1</v>
      </c>
      <c r="K374" s="12">
        <f t="shared" si="64"/>
        <v>40185600</v>
      </c>
      <c r="L374" s="84"/>
      <c r="N374" s="8">
        <f t="shared" si="65"/>
        <v>1913600</v>
      </c>
      <c r="O374" s="7"/>
    </row>
    <row r="375" spans="1:15" s="6" customFormat="1" ht="15.75" customHeight="1" x14ac:dyDescent="0.25">
      <c r="A375" s="17"/>
      <c r="B375" s="87" t="s">
        <v>56</v>
      </c>
      <c r="C375" s="9"/>
      <c r="D375" s="9"/>
      <c r="E375" s="9" t="s">
        <v>10</v>
      </c>
      <c r="F375" s="9"/>
      <c r="G375" s="9" t="s">
        <v>447</v>
      </c>
      <c r="H375" s="88">
        <f>6.8*2.8</f>
        <v>19.04</v>
      </c>
      <c r="I375" s="12">
        <v>77000</v>
      </c>
      <c r="J375" s="85">
        <v>1</v>
      </c>
      <c r="K375" s="12">
        <f t="shared" si="64"/>
        <v>1466080</v>
      </c>
      <c r="L375" s="84"/>
      <c r="N375" s="8">
        <f t="shared" si="65"/>
        <v>77000</v>
      </c>
      <c r="O375" s="7"/>
    </row>
    <row r="376" spans="1:15" s="6" customFormat="1" ht="15.75" customHeight="1" x14ac:dyDescent="0.25">
      <c r="A376" s="17"/>
      <c r="B376" s="87" t="s">
        <v>45</v>
      </c>
      <c r="C376" s="9"/>
      <c r="D376" s="9"/>
      <c r="E376" s="9" t="s">
        <v>10</v>
      </c>
      <c r="F376" s="9"/>
      <c r="G376" s="9" t="s">
        <v>447</v>
      </c>
      <c r="H376" s="88">
        <f>-6.8*2.8</f>
        <v>-19.04</v>
      </c>
      <c r="I376" s="12">
        <v>102000</v>
      </c>
      <c r="J376" s="85">
        <v>1</v>
      </c>
      <c r="K376" s="12">
        <f t="shared" si="64"/>
        <v>-1942080</v>
      </c>
      <c r="L376" s="84"/>
      <c r="N376" s="8">
        <f t="shared" si="65"/>
        <v>102000</v>
      </c>
      <c r="O376" s="7"/>
    </row>
    <row r="377" spans="1:15" s="6" customFormat="1" ht="31.5" customHeight="1" x14ac:dyDescent="0.25">
      <c r="A377" s="17"/>
      <c r="B377" s="87" t="s">
        <v>446</v>
      </c>
      <c r="C377" s="9"/>
      <c r="D377" s="9"/>
      <c r="E377" s="9" t="s">
        <v>10</v>
      </c>
      <c r="F377" s="9"/>
      <c r="G377" s="9" t="s">
        <v>445</v>
      </c>
      <c r="H377" s="88">
        <f>-3*3.3</f>
        <v>-9.8999999999999986</v>
      </c>
      <c r="I377" s="12">
        <v>255000</v>
      </c>
      <c r="J377" s="85">
        <v>1</v>
      </c>
      <c r="K377" s="12">
        <f t="shared" si="64"/>
        <v>-2524499.9999999995</v>
      </c>
      <c r="L377" s="84"/>
      <c r="N377" s="8">
        <f t="shared" si="65"/>
        <v>255000</v>
      </c>
      <c r="O377" s="7"/>
    </row>
    <row r="378" spans="1:15" s="6" customFormat="1" ht="15.75" customHeight="1" x14ac:dyDescent="0.25">
      <c r="A378" s="9"/>
      <c r="B378" s="10" t="s">
        <v>67</v>
      </c>
      <c r="C378" s="10"/>
      <c r="D378" s="10"/>
      <c r="E378" s="9" t="s">
        <v>10</v>
      </c>
      <c r="F378" s="9"/>
      <c r="G378" s="9" t="s">
        <v>444</v>
      </c>
      <c r="H378" s="11">
        <f>(3+3)*3.3+(7*3)-(2.85*4.3)</f>
        <v>28.544999999999998</v>
      </c>
      <c r="I378" s="18">
        <v>425000</v>
      </c>
      <c r="J378" s="85">
        <v>1</v>
      </c>
      <c r="K378" s="12">
        <f t="shared" si="64"/>
        <v>12131625</v>
      </c>
      <c r="L378" s="84"/>
      <c r="N378" s="8">
        <f t="shared" si="65"/>
        <v>425000</v>
      </c>
      <c r="O378" s="7"/>
    </row>
    <row r="379" spans="1:15" s="6" customFormat="1" ht="15.75" customHeight="1" x14ac:dyDescent="0.25">
      <c r="A379" s="9"/>
      <c r="B379" s="10" t="s">
        <v>30</v>
      </c>
      <c r="C379" s="10"/>
      <c r="D379" s="10"/>
      <c r="E379" s="9" t="s">
        <v>10</v>
      </c>
      <c r="F379" s="9"/>
      <c r="G379" s="9" t="s">
        <v>443</v>
      </c>
      <c r="H379" s="11">
        <f>4.45*3</f>
        <v>13.350000000000001</v>
      </c>
      <c r="I379" s="18">
        <v>459000</v>
      </c>
      <c r="J379" s="85">
        <v>1</v>
      </c>
      <c r="K379" s="12">
        <f t="shared" si="64"/>
        <v>6127650.0000000009</v>
      </c>
      <c r="L379" s="84"/>
      <c r="N379" s="8">
        <f t="shared" si="65"/>
        <v>459000</v>
      </c>
      <c r="O379" s="7"/>
    </row>
    <row r="380" spans="1:15" s="6" customFormat="1" ht="15.75" customHeight="1" x14ac:dyDescent="0.25">
      <c r="A380" s="9"/>
      <c r="B380" s="98" t="s">
        <v>440</v>
      </c>
      <c r="C380" s="98"/>
      <c r="D380" s="98"/>
      <c r="E380" s="9" t="s">
        <v>15</v>
      </c>
      <c r="F380" s="9" t="s">
        <v>50</v>
      </c>
      <c r="G380" s="9" t="s">
        <v>442</v>
      </c>
      <c r="H380" s="11">
        <f>7*6.1*0.1</f>
        <v>4.2699999999999996</v>
      </c>
      <c r="I380" s="18">
        <v>763000</v>
      </c>
      <c r="J380" s="85">
        <v>1</v>
      </c>
      <c r="K380" s="12">
        <f t="shared" si="64"/>
        <v>3258009.9999999995</v>
      </c>
      <c r="L380" s="84"/>
      <c r="N380" s="8">
        <f t="shared" si="65"/>
        <v>763000</v>
      </c>
      <c r="O380" s="7" t="s">
        <v>804</v>
      </c>
    </row>
    <row r="381" spans="1:15" s="6" customFormat="1" ht="15.75" customHeight="1" x14ac:dyDescent="0.25">
      <c r="A381" s="9"/>
      <c r="B381" s="10" t="s">
        <v>409</v>
      </c>
      <c r="C381" s="10"/>
      <c r="D381" s="10"/>
      <c r="E381" s="9" t="s">
        <v>15</v>
      </c>
      <c r="F381" s="9" t="s">
        <v>43</v>
      </c>
      <c r="G381" s="9" t="s">
        <v>441</v>
      </c>
      <c r="H381" s="11">
        <f>1.7*0.5*0.1*26</f>
        <v>2.21</v>
      </c>
      <c r="I381" s="18">
        <v>3341000</v>
      </c>
      <c r="J381" s="85">
        <v>1</v>
      </c>
      <c r="K381" s="12">
        <f t="shared" si="64"/>
        <v>7383610</v>
      </c>
      <c r="L381" s="84"/>
      <c r="N381" s="8">
        <f>+I381</f>
        <v>3341000</v>
      </c>
      <c r="O381" s="7" t="s">
        <v>804</v>
      </c>
    </row>
    <row r="382" spans="1:15" s="6" customFormat="1" ht="15.75" customHeight="1" x14ac:dyDescent="0.25">
      <c r="A382" s="9"/>
      <c r="B382" s="98" t="s">
        <v>440</v>
      </c>
      <c r="C382" s="98"/>
      <c r="D382" s="98"/>
      <c r="E382" s="9" t="s">
        <v>15</v>
      </c>
      <c r="F382" s="9" t="s">
        <v>50</v>
      </c>
      <c r="G382" s="9" t="s">
        <v>439</v>
      </c>
      <c r="H382" s="11">
        <f>(11.6*0.8+6.7*2.6)*0.1</f>
        <v>2.6700000000000004</v>
      </c>
      <c r="I382" s="18">
        <v>763000</v>
      </c>
      <c r="J382" s="85">
        <v>1</v>
      </c>
      <c r="K382" s="12">
        <f t="shared" si="64"/>
        <v>2037210.0000000002</v>
      </c>
      <c r="L382" s="84"/>
      <c r="N382" s="8">
        <f>+I382</f>
        <v>763000</v>
      </c>
      <c r="O382" s="7" t="s">
        <v>804</v>
      </c>
    </row>
    <row r="383" spans="1:15" s="6" customFormat="1" ht="15.75" customHeight="1" x14ac:dyDescent="0.25">
      <c r="A383" s="9"/>
      <c r="B383" s="10" t="s">
        <v>438</v>
      </c>
      <c r="C383" s="10"/>
      <c r="D383" s="10"/>
      <c r="E383" s="9" t="s">
        <v>10</v>
      </c>
      <c r="F383" s="9"/>
      <c r="G383" s="9" t="s">
        <v>437</v>
      </c>
      <c r="H383" s="11">
        <f>2*3</f>
        <v>6</v>
      </c>
      <c r="I383" s="12">
        <v>255000</v>
      </c>
      <c r="J383" s="85">
        <v>1</v>
      </c>
      <c r="K383" s="102">
        <f>I383*H383</f>
        <v>1530000</v>
      </c>
      <c r="L383" s="84"/>
      <c r="N383" s="8">
        <f>+I383</f>
        <v>255000</v>
      </c>
      <c r="O383" s="7"/>
    </row>
    <row r="384" spans="1:15" s="6" customFormat="1" ht="15.75" customHeight="1" x14ac:dyDescent="0.25">
      <c r="A384" s="9"/>
      <c r="B384" s="10" t="s">
        <v>191</v>
      </c>
      <c r="C384" s="10"/>
      <c r="D384" s="10"/>
      <c r="E384" s="9" t="s">
        <v>15</v>
      </c>
      <c r="F384" s="9"/>
      <c r="G384" s="9" t="s">
        <v>436</v>
      </c>
      <c r="H384" s="88">
        <f>(1.1+0.9)*2*0.11*1.4</f>
        <v>0.61599999999999999</v>
      </c>
      <c r="I384" s="18">
        <v>2135000</v>
      </c>
      <c r="J384" s="85">
        <v>1</v>
      </c>
      <c r="K384" s="12">
        <f t="shared" ref="K384:K408" si="66">H384*I384</f>
        <v>1315160</v>
      </c>
      <c r="L384" s="84"/>
      <c r="N384" s="8">
        <f>+I384</f>
        <v>2135000</v>
      </c>
      <c r="O384" s="7"/>
    </row>
    <row r="385" spans="1:15" s="6" customFormat="1" ht="15.75" customHeight="1" x14ac:dyDescent="0.25">
      <c r="A385" s="9"/>
      <c r="B385" s="10" t="s">
        <v>435</v>
      </c>
      <c r="C385" s="10"/>
      <c r="D385" s="10"/>
      <c r="E385" s="9" t="s">
        <v>15</v>
      </c>
      <c r="F385" s="9" t="s">
        <v>43</v>
      </c>
      <c r="G385" s="9" t="s">
        <v>433</v>
      </c>
      <c r="H385" s="11">
        <f>1.1*0.9*0.1</f>
        <v>9.9000000000000019E-2</v>
      </c>
      <c r="I385" s="18">
        <v>3341000</v>
      </c>
      <c r="J385" s="85">
        <v>1</v>
      </c>
      <c r="K385" s="12">
        <f t="shared" si="66"/>
        <v>330759.00000000006</v>
      </c>
      <c r="L385" s="84"/>
      <c r="N385" s="8">
        <f t="shared" ref="N385:N386" si="67">+I385</f>
        <v>3341000</v>
      </c>
      <c r="O385" s="7" t="s">
        <v>804</v>
      </c>
    </row>
    <row r="386" spans="1:15" s="6" customFormat="1" ht="15.75" customHeight="1" x14ac:dyDescent="0.25">
      <c r="A386" s="9"/>
      <c r="B386" s="10" t="s">
        <v>434</v>
      </c>
      <c r="C386" s="10"/>
      <c r="D386" s="10"/>
      <c r="E386" s="9" t="s">
        <v>15</v>
      </c>
      <c r="F386" s="9" t="s">
        <v>43</v>
      </c>
      <c r="G386" s="9" t="s">
        <v>433</v>
      </c>
      <c r="H386" s="11">
        <f>1.1*0.9*0.1</f>
        <v>9.9000000000000019E-2</v>
      </c>
      <c r="I386" s="18">
        <v>3341000</v>
      </c>
      <c r="J386" s="85">
        <v>1</v>
      </c>
      <c r="K386" s="12">
        <f t="shared" si="66"/>
        <v>330759.00000000006</v>
      </c>
      <c r="L386" s="84"/>
      <c r="N386" s="8">
        <f t="shared" si="67"/>
        <v>3341000</v>
      </c>
      <c r="O386" s="7" t="s">
        <v>804</v>
      </c>
    </row>
    <row r="387" spans="1:15" s="6" customFormat="1" ht="33.75" customHeight="1" x14ac:dyDescent="0.25">
      <c r="A387" s="9"/>
      <c r="B387" s="10" t="s">
        <v>387</v>
      </c>
      <c r="C387" s="10"/>
      <c r="D387" s="10"/>
      <c r="E387" s="9" t="s">
        <v>10</v>
      </c>
      <c r="F387" s="9"/>
      <c r="G387" s="9" t="s">
        <v>432</v>
      </c>
      <c r="H387" s="11">
        <f>0.7*0.8*3</f>
        <v>1.6799999999999997</v>
      </c>
      <c r="I387" s="18">
        <v>255000</v>
      </c>
      <c r="J387" s="85">
        <v>1</v>
      </c>
      <c r="K387" s="12">
        <f t="shared" si="66"/>
        <v>428399.99999999994</v>
      </c>
      <c r="L387" s="84"/>
      <c r="N387" s="8">
        <f>+I387</f>
        <v>255000</v>
      </c>
      <c r="O387" s="7"/>
    </row>
    <row r="388" spans="1:15" s="6" customFormat="1" ht="15.75" customHeight="1" x14ac:dyDescent="0.25">
      <c r="A388" s="9"/>
      <c r="B388" s="10" t="s">
        <v>389</v>
      </c>
      <c r="C388" s="10"/>
      <c r="D388" s="10"/>
      <c r="E388" s="9" t="s">
        <v>15</v>
      </c>
      <c r="F388" s="9" t="s">
        <v>43</v>
      </c>
      <c r="G388" s="9" t="s">
        <v>431</v>
      </c>
      <c r="H388" s="11">
        <f>1.6*0.8*0.1</f>
        <v>0.12800000000000003</v>
      </c>
      <c r="I388" s="18">
        <v>3341000</v>
      </c>
      <c r="J388" s="85">
        <v>1</v>
      </c>
      <c r="K388" s="12">
        <f t="shared" si="66"/>
        <v>427648.00000000012</v>
      </c>
      <c r="L388" s="84"/>
      <c r="N388" s="8">
        <f>+I388</f>
        <v>3341000</v>
      </c>
      <c r="O388" s="7" t="s">
        <v>804</v>
      </c>
    </row>
    <row r="389" spans="1:15" s="6" customFormat="1" ht="15.75" customHeight="1" x14ac:dyDescent="0.25">
      <c r="A389" s="9"/>
      <c r="B389" s="10" t="s">
        <v>430</v>
      </c>
      <c r="C389" s="10"/>
      <c r="D389" s="10"/>
      <c r="E389" s="9" t="s">
        <v>10</v>
      </c>
      <c r="F389" s="9"/>
      <c r="G389" s="9" t="s">
        <v>429</v>
      </c>
      <c r="H389" s="11">
        <f>(1.6+1.5)*0.8</f>
        <v>2.4800000000000004</v>
      </c>
      <c r="I389" s="18">
        <v>611000</v>
      </c>
      <c r="J389" s="85">
        <v>1</v>
      </c>
      <c r="K389" s="12">
        <f t="shared" si="66"/>
        <v>1515280.0000000002</v>
      </c>
      <c r="L389" s="84"/>
      <c r="N389" s="8">
        <f>+I389</f>
        <v>611000</v>
      </c>
      <c r="O389" s="7"/>
    </row>
    <row r="390" spans="1:15" s="6" customFormat="1" ht="15.75" customHeight="1" x14ac:dyDescent="0.25">
      <c r="A390" s="9"/>
      <c r="B390" s="10" t="s">
        <v>428</v>
      </c>
      <c r="C390" s="10"/>
      <c r="D390" s="10"/>
      <c r="E390" s="9" t="s">
        <v>10</v>
      </c>
      <c r="F390" s="9"/>
      <c r="G390" s="9" t="s">
        <v>427</v>
      </c>
      <c r="H390" s="11">
        <f>(1.6+1.5)*0.9</f>
        <v>2.79</v>
      </c>
      <c r="I390" s="18">
        <f>227000</f>
        <v>227000</v>
      </c>
      <c r="J390" s="85">
        <v>1</v>
      </c>
      <c r="K390" s="12">
        <f t="shared" si="66"/>
        <v>633330</v>
      </c>
      <c r="L390" s="84"/>
      <c r="N390" s="8">
        <f>+I390</f>
        <v>227000</v>
      </c>
      <c r="O390" s="7"/>
    </row>
    <row r="391" spans="1:15" s="6" customFormat="1" ht="15.75" customHeight="1" x14ac:dyDescent="0.25">
      <c r="A391" s="9"/>
      <c r="B391" s="10" t="s">
        <v>54</v>
      </c>
      <c r="C391" s="10"/>
      <c r="D391" s="10"/>
      <c r="E391" s="9" t="s">
        <v>10</v>
      </c>
      <c r="F391" s="9"/>
      <c r="G391" s="9" t="s">
        <v>426</v>
      </c>
      <c r="H391" s="11">
        <f>10.5*0.7</f>
        <v>7.35</v>
      </c>
      <c r="I391" s="18">
        <v>425000</v>
      </c>
      <c r="J391" s="85">
        <v>1</v>
      </c>
      <c r="K391" s="12">
        <f t="shared" si="66"/>
        <v>3123750</v>
      </c>
      <c r="L391" s="84"/>
      <c r="N391" s="8">
        <f>+I391</f>
        <v>425000</v>
      </c>
      <c r="O391" s="7"/>
    </row>
    <row r="392" spans="1:15" s="6" customFormat="1" ht="15.75" customHeight="1" x14ac:dyDescent="0.25">
      <c r="A392" s="9"/>
      <c r="B392" s="10" t="s">
        <v>425</v>
      </c>
      <c r="C392" s="10"/>
      <c r="D392" s="10"/>
      <c r="E392" s="9" t="s">
        <v>10</v>
      </c>
      <c r="F392" s="9"/>
      <c r="G392" s="9" t="s">
        <v>424</v>
      </c>
      <c r="H392" s="11">
        <f>3*3</f>
        <v>9</v>
      </c>
      <c r="I392" s="18">
        <v>345000</v>
      </c>
      <c r="J392" s="85">
        <v>1</v>
      </c>
      <c r="K392" s="12">
        <f t="shared" si="66"/>
        <v>3105000</v>
      </c>
      <c r="L392" s="84"/>
      <c r="N392" s="7">
        <v>0</v>
      </c>
      <c r="O392" s="7" t="s">
        <v>808</v>
      </c>
    </row>
    <row r="393" spans="1:15" s="6" customFormat="1" ht="15.75" customHeight="1" x14ac:dyDescent="0.25">
      <c r="A393" s="9"/>
      <c r="B393" s="10" t="s">
        <v>423</v>
      </c>
      <c r="C393" s="10"/>
      <c r="D393" s="10"/>
      <c r="E393" s="9" t="s">
        <v>10</v>
      </c>
      <c r="F393" s="9" t="s">
        <v>19</v>
      </c>
      <c r="G393" s="9" t="s">
        <v>422</v>
      </c>
      <c r="H393" s="11">
        <v>15</v>
      </c>
      <c r="I393" s="18">
        <v>16000</v>
      </c>
      <c r="J393" s="85">
        <v>1</v>
      </c>
      <c r="K393" s="12">
        <f t="shared" si="66"/>
        <v>240000</v>
      </c>
      <c r="L393" s="84"/>
      <c r="N393" s="8">
        <f>+I393</f>
        <v>16000</v>
      </c>
      <c r="O393" s="7"/>
    </row>
    <row r="394" spans="1:15" s="6" customFormat="1" ht="15.75" customHeight="1" x14ac:dyDescent="0.25">
      <c r="A394" s="9"/>
      <c r="B394" s="10" t="s">
        <v>421</v>
      </c>
      <c r="C394" s="10"/>
      <c r="D394" s="10"/>
      <c r="E394" s="9" t="s">
        <v>15</v>
      </c>
      <c r="F394" s="9" t="s">
        <v>43</v>
      </c>
      <c r="G394" s="9" t="s">
        <v>420</v>
      </c>
      <c r="H394" s="24">
        <f>3*3*0.12</f>
        <v>1.08</v>
      </c>
      <c r="I394" s="18">
        <v>3341000</v>
      </c>
      <c r="J394" s="85">
        <v>1</v>
      </c>
      <c r="K394" s="12">
        <f t="shared" si="66"/>
        <v>3608280.0000000005</v>
      </c>
      <c r="L394" s="84"/>
      <c r="N394" s="8">
        <f t="shared" ref="N394:N395" si="68">+I394</f>
        <v>3341000</v>
      </c>
      <c r="O394" s="7" t="s">
        <v>804</v>
      </c>
    </row>
    <row r="395" spans="1:15" s="6" customFormat="1" ht="15.75" customHeight="1" x14ac:dyDescent="0.25">
      <c r="A395" s="9"/>
      <c r="B395" s="10" t="s">
        <v>419</v>
      </c>
      <c r="C395" s="10"/>
      <c r="D395" s="10"/>
      <c r="E395" s="9" t="s">
        <v>15</v>
      </c>
      <c r="F395" s="9" t="s">
        <v>43</v>
      </c>
      <c r="G395" s="9" t="s">
        <v>418</v>
      </c>
      <c r="H395" s="24">
        <f>1.3*0.8*0.1</f>
        <v>0.10400000000000001</v>
      </c>
      <c r="I395" s="18">
        <v>3341000</v>
      </c>
      <c r="J395" s="85">
        <v>1</v>
      </c>
      <c r="K395" s="12">
        <f t="shared" si="66"/>
        <v>347464.00000000006</v>
      </c>
      <c r="L395" s="84"/>
      <c r="N395" s="8">
        <f t="shared" si="68"/>
        <v>3341000</v>
      </c>
      <c r="O395" s="7" t="s">
        <v>804</v>
      </c>
    </row>
    <row r="396" spans="1:15" s="6" customFormat="1" ht="15.75" customHeight="1" x14ac:dyDescent="0.25">
      <c r="A396" s="9"/>
      <c r="B396" s="10" t="s">
        <v>417</v>
      </c>
      <c r="C396" s="10"/>
      <c r="D396" s="10"/>
      <c r="E396" s="9" t="s">
        <v>10</v>
      </c>
      <c r="F396" s="9"/>
      <c r="G396" s="9" t="s">
        <v>416</v>
      </c>
      <c r="H396" s="24">
        <f>(1.3+0.8)*2*2.5</f>
        <v>10.5</v>
      </c>
      <c r="I396" s="18">
        <v>255000</v>
      </c>
      <c r="J396" s="85">
        <v>1</v>
      </c>
      <c r="K396" s="12">
        <f t="shared" si="66"/>
        <v>2677500</v>
      </c>
      <c r="L396" s="84"/>
      <c r="N396" s="8">
        <f t="shared" ref="N396:N402" si="69">+I396</f>
        <v>255000</v>
      </c>
      <c r="O396" s="7"/>
    </row>
    <row r="397" spans="1:15" s="6" customFormat="1" ht="31.5" customHeight="1" x14ac:dyDescent="0.25">
      <c r="A397" s="17"/>
      <c r="B397" s="20" t="s">
        <v>243</v>
      </c>
      <c r="C397" s="9"/>
      <c r="D397" s="9"/>
      <c r="E397" s="9" t="s">
        <v>14</v>
      </c>
      <c r="F397" s="9"/>
      <c r="G397" s="9"/>
      <c r="H397" s="11">
        <v>10</v>
      </c>
      <c r="I397" s="18">
        <v>46000</v>
      </c>
      <c r="J397" s="85">
        <v>1</v>
      </c>
      <c r="K397" s="18">
        <f t="shared" si="66"/>
        <v>460000</v>
      </c>
      <c r="L397" s="84"/>
      <c r="N397" s="8">
        <f t="shared" si="69"/>
        <v>46000</v>
      </c>
      <c r="O397" s="7"/>
    </row>
    <row r="398" spans="1:15" s="6" customFormat="1" ht="31.5" customHeight="1" x14ac:dyDescent="0.25">
      <c r="A398" s="17"/>
      <c r="B398" s="20" t="s">
        <v>393</v>
      </c>
      <c r="C398" s="9"/>
      <c r="D398" s="9"/>
      <c r="E398" s="9" t="s">
        <v>10</v>
      </c>
      <c r="F398" s="9"/>
      <c r="G398" s="9" t="s">
        <v>415</v>
      </c>
      <c r="H398" s="22">
        <f>0.6*0.85*21+0.22*0.8*21+1.38*1</f>
        <v>15.786000000000001</v>
      </c>
      <c r="I398" s="18">
        <v>611000</v>
      </c>
      <c r="J398" s="85">
        <v>1</v>
      </c>
      <c r="K398" s="18">
        <f t="shared" si="66"/>
        <v>9645246</v>
      </c>
      <c r="L398" s="84"/>
      <c r="N398" s="8">
        <f t="shared" si="69"/>
        <v>611000</v>
      </c>
      <c r="O398" s="7"/>
    </row>
    <row r="399" spans="1:15" s="191" customFormat="1" ht="15.75" customHeight="1" x14ac:dyDescent="0.25">
      <c r="A399" s="185"/>
      <c r="B399" s="186" t="s">
        <v>803</v>
      </c>
      <c r="C399" s="185"/>
      <c r="D399" s="185"/>
      <c r="E399" s="185" t="s">
        <v>47</v>
      </c>
      <c r="F399" s="185"/>
      <c r="G399" s="185"/>
      <c r="H399" s="187">
        <v>6</v>
      </c>
      <c r="I399" s="188">
        <v>2000000</v>
      </c>
      <c r="J399" s="189">
        <v>1</v>
      </c>
      <c r="K399" s="188">
        <f t="shared" si="66"/>
        <v>12000000</v>
      </c>
      <c r="L399" s="190"/>
      <c r="M399" s="6"/>
      <c r="N399" s="8">
        <f t="shared" si="69"/>
        <v>2000000</v>
      </c>
      <c r="O399" s="7"/>
    </row>
    <row r="400" spans="1:15" s="6" customFormat="1" ht="15.75" customHeight="1" x14ac:dyDescent="0.25">
      <c r="A400" s="9"/>
      <c r="B400" s="20" t="s">
        <v>414</v>
      </c>
      <c r="C400" s="9"/>
      <c r="D400" s="9"/>
      <c r="E400" s="9" t="s">
        <v>14</v>
      </c>
      <c r="F400" s="9"/>
      <c r="G400" s="9"/>
      <c r="H400" s="11">
        <v>27</v>
      </c>
      <c r="I400" s="18">
        <v>6000</v>
      </c>
      <c r="J400" s="85">
        <v>1</v>
      </c>
      <c r="K400" s="18">
        <f t="shared" si="66"/>
        <v>162000</v>
      </c>
      <c r="L400" s="84"/>
      <c r="N400" s="8">
        <f t="shared" si="69"/>
        <v>6000</v>
      </c>
      <c r="O400" s="7" t="s">
        <v>804</v>
      </c>
    </row>
    <row r="401" spans="1:15" s="6" customFormat="1" ht="15.75" customHeight="1" x14ac:dyDescent="0.25">
      <c r="A401" s="9"/>
      <c r="B401" s="20" t="s">
        <v>348</v>
      </c>
      <c r="C401" s="9"/>
      <c r="D401" s="9"/>
      <c r="E401" s="9" t="s">
        <v>15</v>
      </c>
      <c r="F401" s="9"/>
      <c r="G401" s="9" t="s">
        <v>413</v>
      </c>
      <c r="H401" s="22">
        <f>(7*5+10*3)*0.25*(2.5-1.2)</f>
        <v>21.125</v>
      </c>
      <c r="I401" s="18">
        <v>914000</v>
      </c>
      <c r="J401" s="85">
        <v>1</v>
      </c>
      <c r="K401" s="18">
        <f t="shared" si="66"/>
        <v>19308250</v>
      </c>
      <c r="L401" s="84"/>
      <c r="N401" s="8">
        <f t="shared" si="69"/>
        <v>914000</v>
      </c>
      <c r="O401" s="7"/>
    </row>
    <row r="402" spans="1:15" s="6" customFormat="1" x14ac:dyDescent="0.25">
      <c r="A402" s="9"/>
      <c r="B402" s="17" t="s">
        <v>350</v>
      </c>
      <c r="C402" s="9"/>
      <c r="D402" s="9"/>
      <c r="E402" s="9" t="s">
        <v>15</v>
      </c>
      <c r="F402" s="9"/>
      <c r="G402" s="9" t="s">
        <v>412</v>
      </c>
      <c r="H402" s="24">
        <f>7*10*1.3-21.125</f>
        <v>69.875</v>
      </c>
      <c r="I402" s="18">
        <v>127000</v>
      </c>
      <c r="J402" s="85">
        <v>1</v>
      </c>
      <c r="K402" s="18">
        <f t="shared" si="66"/>
        <v>8874125</v>
      </c>
      <c r="L402" s="84"/>
      <c r="N402" s="8">
        <f t="shared" si="69"/>
        <v>127000</v>
      </c>
      <c r="O402" s="7" t="s">
        <v>808</v>
      </c>
    </row>
    <row r="403" spans="1:15" s="6" customFormat="1" ht="31.5" customHeight="1" x14ac:dyDescent="0.25">
      <c r="A403" s="9"/>
      <c r="B403" s="17" t="s">
        <v>411</v>
      </c>
      <c r="C403" s="9"/>
      <c r="D403" s="9"/>
      <c r="E403" s="9" t="s">
        <v>15</v>
      </c>
      <c r="F403" s="9"/>
      <c r="G403" s="21" t="s">
        <v>410</v>
      </c>
      <c r="H403" s="22">
        <f>(1.2*1.2*0.15+0.7*0.7*0.25+0.9*0.25*0.25)*12</f>
        <v>4.7370000000000001</v>
      </c>
      <c r="I403" s="18">
        <v>4282000</v>
      </c>
      <c r="J403" s="85">
        <v>1</v>
      </c>
      <c r="K403" s="18">
        <f t="shared" si="66"/>
        <v>20283834</v>
      </c>
      <c r="L403" s="84"/>
      <c r="N403" s="8">
        <f t="shared" ref="N403:N408" si="70">+I403</f>
        <v>4282000</v>
      </c>
      <c r="O403" s="7" t="s">
        <v>804</v>
      </c>
    </row>
    <row r="404" spans="1:15" s="191" customFormat="1" ht="15.75" customHeight="1" x14ac:dyDescent="0.25">
      <c r="A404" s="185"/>
      <c r="B404" s="186" t="s">
        <v>48</v>
      </c>
      <c r="C404" s="194"/>
      <c r="D404" s="185"/>
      <c r="E404" s="185" t="s">
        <v>49</v>
      </c>
      <c r="F404" s="185"/>
      <c r="G404" s="185"/>
      <c r="H404" s="187">
        <v>1</v>
      </c>
      <c r="I404" s="188">
        <v>5000000</v>
      </c>
      <c r="J404" s="189">
        <v>1</v>
      </c>
      <c r="K404" s="188">
        <f t="shared" si="66"/>
        <v>5000000</v>
      </c>
      <c r="L404" s="190"/>
      <c r="N404" s="192">
        <f t="shared" si="70"/>
        <v>5000000</v>
      </c>
      <c r="O404" s="193"/>
    </row>
    <row r="405" spans="1:15" s="6" customFormat="1" ht="15.75" customHeight="1" x14ac:dyDescent="0.25">
      <c r="A405" s="9"/>
      <c r="B405" s="10" t="s">
        <v>409</v>
      </c>
      <c r="C405" s="10"/>
      <c r="D405" s="10"/>
      <c r="E405" s="9" t="s">
        <v>15</v>
      </c>
      <c r="F405" s="9" t="s">
        <v>43</v>
      </c>
      <c r="G405" s="9" t="s">
        <v>408</v>
      </c>
      <c r="H405" s="11">
        <f>1*1*0.1</f>
        <v>0.1</v>
      </c>
      <c r="I405" s="18">
        <v>3341000</v>
      </c>
      <c r="J405" s="85">
        <v>1</v>
      </c>
      <c r="K405" s="12">
        <f t="shared" si="66"/>
        <v>334100</v>
      </c>
      <c r="L405" s="84"/>
      <c r="N405" s="8">
        <f t="shared" si="70"/>
        <v>3341000</v>
      </c>
      <c r="O405" s="7" t="s">
        <v>804</v>
      </c>
    </row>
    <row r="406" spans="1:15" s="6" customFormat="1" ht="15.75" customHeight="1" x14ac:dyDescent="0.25">
      <c r="A406" s="9"/>
      <c r="B406" s="17" t="s">
        <v>467</v>
      </c>
      <c r="C406" s="9"/>
      <c r="D406" s="9"/>
      <c r="E406" s="9" t="s">
        <v>15</v>
      </c>
      <c r="F406" s="9"/>
      <c r="G406" s="9" t="s">
        <v>468</v>
      </c>
      <c r="H406" s="24">
        <f>0.3*0.5*2*2</f>
        <v>0.6</v>
      </c>
      <c r="I406" s="12">
        <v>1145000</v>
      </c>
      <c r="J406" s="85">
        <v>1</v>
      </c>
      <c r="K406" s="12">
        <f t="shared" si="66"/>
        <v>687000</v>
      </c>
      <c r="L406" s="84"/>
      <c r="N406" s="8">
        <f t="shared" si="70"/>
        <v>1145000</v>
      </c>
      <c r="O406" s="7"/>
    </row>
    <row r="407" spans="1:15" s="6" customFormat="1" ht="15.75" customHeight="1" x14ac:dyDescent="0.25">
      <c r="A407" s="9"/>
      <c r="B407" s="17" t="s">
        <v>469</v>
      </c>
      <c r="C407" s="9"/>
      <c r="D407" s="9"/>
      <c r="E407" s="9" t="s">
        <v>15</v>
      </c>
      <c r="F407" s="9"/>
      <c r="G407" s="9" t="s">
        <v>470</v>
      </c>
      <c r="H407" s="24">
        <f>(3*2+7*2)*0.33*1</f>
        <v>6.6000000000000005</v>
      </c>
      <c r="I407" s="12">
        <v>914000</v>
      </c>
      <c r="J407" s="85">
        <v>1</v>
      </c>
      <c r="K407" s="12">
        <f t="shared" si="66"/>
        <v>6032400.0000000009</v>
      </c>
      <c r="L407" s="84"/>
      <c r="N407" s="8">
        <f t="shared" si="70"/>
        <v>914000</v>
      </c>
      <c r="O407" s="7"/>
    </row>
    <row r="408" spans="1:15" s="6" customFormat="1" x14ac:dyDescent="0.25">
      <c r="A408" s="9"/>
      <c r="B408" s="17" t="s">
        <v>350</v>
      </c>
      <c r="C408" s="9"/>
      <c r="D408" s="9"/>
      <c r="E408" s="9" t="s">
        <v>15</v>
      </c>
      <c r="F408" s="9"/>
      <c r="G408" s="9" t="s">
        <v>471</v>
      </c>
      <c r="H408" s="22">
        <f>(3*7*1)-6.6</f>
        <v>14.4</v>
      </c>
      <c r="I408" s="12">
        <v>127000</v>
      </c>
      <c r="J408" s="85">
        <v>1</v>
      </c>
      <c r="K408" s="12">
        <f t="shared" si="66"/>
        <v>1828800</v>
      </c>
      <c r="L408" s="84"/>
      <c r="N408" s="8">
        <f t="shared" si="70"/>
        <v>127000</v>
      </c>
      <c r="O408" s="7" t="s">
        <v>808</v>
      </c>
    </row>
    <row r="409" spans="1:15" s="6" customFormat="1" ht="15.75" customHeight="1" x14ac:dyDescent="0.25">
      <c r="A409" s="13">
        <v>18</v>
      </c>
      <c r="B409" s="14" t="s">
        <v>524</v>
      </c>
      <c r="C409" s="13">
        <v>117</v>
      </c>
      <c r="D409" s="13">
        <v>2</v>
      </c>
      <c r="E409" s="13"/>
      <c r="F409" s="13"/>
      <c r="G409" s="9"/>
      <c r="H409" s="15"/>
      <c r="I409" s="16"/>
      <c r="J409" s="39"/>
      <c r="K409" s="16">
        <f>SUM(K410:K458)</f>
        <v>1989607879</v>
      </c>
      <c r="L409" s="84"/>
      <c r="N409" s="7"/>
      <c r="O409" s="7"/>
    </row>
    <row r="410" spans="1:15" s="139" customFormat="1" ht="15.75" customHeight="1" x14ac:dyDescent="0.25">
      <c r="A410" s="134"/>
      <c r="B410" s="134" t="s">
        <v>9</v>
      </c>
      <c r="C410" s="133"/>
      <c r="D410" s="133"/>
      <c r="E410" s="133" t="s">
        <v>10</v>
      </c>
      <c r="F410" s="134"/>
      <c r="G410" s="133"/>
      <c r="H410" s="135">
        <v>102.1</v>
      </c>
      <c r="I410" s="136">
        <v>7000000</v>
      </c>
      <c r="J410" s="137">
        <v>1</v>
      </c>
      <c r="K410" s="136">
        <f>H410*I410</f>
        <v>714700000</v>
      </c>
      <c r="L410" s="138"/>
      <c r="M410" s="6"/>
      <c r="N410" s="8">
        <f>+I410</f>
        <v>7000000</v>
      </c>
      <c r="O410" s="7"/>
    </row>
    <row r="411" spans="1:15" s="6" customFormat="1" ht="153.75" customHeight="1" x14ac:dyDescent="0.25">
      <c r="A411" s="17"/>
      <c r="B411" s="10" t="s">
        <v>532</v>
      </c>
      <c r="C411" s="9"/>
      <c r="D411" s="9"/>
      <c r="E411" s="9"/>
      <c r="F411" s="9"/>
      <c r="G411" s="9"/>
      <c r="H411" s="11"/>
      <c r="I411" s="18"/>
      <c r="J411" s="85">
        <v>1</v>
      </c>
      <c r="K411" s="18"/>
      <c r="L411" s="84"/>
      <c r="N411" s="7"/>
      <c r="O411" s="7"/>
    </row>
    <row r="412" spans="1:15" s="6" customFormat="1" ht="18.75" customHeight="1" x14ac:dyDescent="0.25">
      <c r="A412" s="17"/>
      <c r="B412" s="101" t="s">
        <v>523</v>
      </c>
      <c r="C412" s="9"/>
      <c r="D412" s="9"/>
      <c r="E412" s="9" t="s">
        <v>10</v>
      </c>
      <c r="F412" s="9"/>
      <c r="G412" s="9" t="s">
        <v>521</v>
      </c>
      <c r="H412" s="11">
        <f>5.05*16.9</f>
        <v>85.344999999999985</v>
      </c>
      <c r="I412" s="18">
        <f>5329000+32000*3</f>
        <v>5425000</v>
      </c>
      <c r="J412" s="85">
        <v>1</v>
      </c>
      <c r="K412" s="18">
        <f t="shared" ref="K412:K458" si="71">H412*I412</f>
        <v>462996624.99999994</v>
      </c>
      <c r="L412" s="84"/>
      <c r="N412" s="8">
        <f>+I412</f>
        <v>5425000</v>
      </c>
      <c r="O412" s="7"/>
    </row>
    <row r="413" spans="1:15" s="6" customFormat="1" ht="18.75" customHeight="1" x14ac:dyDescent="0.25">
      <c r="A413" s="17"/>
      <c r="B413" s="101" t="s">
        <v>522</v>
      </c>
      <c r="C413" s="9"/>
      <c r="D413" s="9"/>
      <c r="E413" s="9" t="s">
        <v>10</v>
      </c>
      <c r="F413" s="9"/>
      <c r="G413" s="9" t="s">
        <v>521</v>
      </c>
      <c r="H413" s="11">
        <f>5.05*16.9</f>
        <v>85.344999999999985</v>
      </c>
      <c r="I413" s="18">
        <f>5329000+32000*3</f>
        <v>5425000</v>
      </c>
      <c r="J413" s="85">
        <v>1</v>
      </c>
      <c r="K413" s="18">
        <f t="shared" si="71"/>
        <v>462996624.99999994</v>
      </c>
      <c r="L413" s="84"/>
      <c r="N413" s="8">
        <f>+I413</f>
        <v>5425000</v>
      </c>
      <c r="O413" s="7"/>
    </row>
    <row r="414" spans="1:15" s="6" customFormat="1" ht="31.5" customHeight="1" x14ac:dyDescent="0.25">
      <c r="A414" s="17"/>
      <c r="B414" s="87" t="s">
        <v>520</v>
      </c>
      <c r="C414" s="9"/>
      <c r="D414" s="9"/>
      <c r="E414" s="9" t="s">
        <v>10</v>
      </c>
      <c r="F414" s="9"/>
      <c r="G414" s="9" t="s">
        <v>519</v>
      </c>
      <c r="H414" s="22">
        <f>(4.85*14.5)*2</f>
        <v>140.64999999999998</v>
      </c>
      <c r="I414" s="12">
        <v>273000</v>
      </c>
      <c r="J414" s="85">
        <v>1</v>
      </c>
      <c r="K414" s="12">
        <f t="shared" si="71"/>
        <v>38397449.999999993</v>
      </c>
      <c r="L414" s="84"/>
      <c r="N414" s="8">
        <f t="shared" ref="N414:N423" si="72">+I414</f>
        <v>273000</v>
      </c>
      <c r="O414" s="7"/>
    </row>
    <row r="415" spans="1:15" s="6" customFormat="1" ht="15.75" customHeight="1" x14ac:dyDescent="0.25">
      <c r="A415" s="17"/>
      <c r="B415" s="87" t="s">
        <v>332</v>
      </c>
      <c r="C415" s="9"/>
      <c r="D415" s="9"/>
      <c r="E415" s="9" t="s">
        <v>10</v>
      </c>
      <c r="F415" s="9"/>
      <c r="G415" s="9" t="s">
        <v>518</v>
      </c>
      <c r="H415" s="88">
        <f>-(4.85*14.5)*2</f>
        <v>-140.64999999999998</v>
      </c>
      <c r="I415" s="12">
        <v>144000</v>
      </c>
      <c r="J415" s="85">
        <v>1</v>
      </c>
      <c r="K415" s="12">
        <f t="shared" si="71"/>
        <v>-20253599.999999996</v>
      </c>
      <c r="L415" s="84"/>
      <c r="N415" s="8">
        <f t="shared" si="72"/>
        <v>144000</v>
      </c>
      <c r="O415" s="7"/>
    </row>
    <row r="416" spans="1:15" s="6" customFormat="1" ht="15.75" customHeight="1" x14ac:dyDescent="0.25">
      <c r="A416" s="17"/>
      <c r="B416" s="20" t="s">
        <v>517</v>
      </c>
      <c r="C416" s="9"/>
      <c r="D416" s="9"/>
      <c r="E416" s="9" t="s">
        <v>10</v>
      </c>
      <c r="F416" s="9"/>
      <c r="G416" s="9" t="s">
        <v>516</v>
      </c>
      <c r="H416" s="11">
        <f>2.55*0.8+2.55*0.6*4</f>
        <v>8.16</v>
      </c>
      <c r="I416" s="18">
        <v>105000</v>
      </c>
      <c r="J416" s="85">
        <v>1</v>
      </c>
      <c r="K416" s="12">
        <f t="shared" si="71"/>
        <v>856800</v>
      </c>
      <c r="L416" s="84"/>
      <c r="N416" s="8">
        <f t="shared" si="72"/>
        <v>105000</v>
      </c>
      <c r="O416" s="7"/>
    </row>
    <row r="417" spans="1:15" s="6" customFormat="1" ht="15.75" customHeight="1" x14ac:dyDescent="0.25">
      <c r="A417" s="17"/>
      <c r="B417" s="20" t="s">
        <v>515</v>
      </c>
      <c r="C417" s="9"/>
      <c r="D417" s="9"/>
      <c r="E417" s="9" t="s">
        <v>14</v>
      </c>
      <c r="F417" s="9"/>
      <c r="G417" s="9" t="s">
        <v>514</v>
      </c>
      <c r="H417" s="11">
        <f>3.1*3+3.5*2+0.5</f>
        <v>16.8</v>
      </c>
      <c r="I417" s="18">
        <v>108000</v>
      </c>
      <c r="J417" s="85">
        <v>1</v>
      </c>
      <c r="K417" s="18">
        <f t="shared" si="71"/>
        <v>1814400</v>
      </c>
      <c r="L417" s="84"/>
      <c r="N417" s="8">
        <f t="shared" si="72"/>
        <v>108000</v>
      </c>
      <c r="O417" s="7"/>
    </row>
    <row r="418" spans="1:15" s="6" customFormat="1" ht="63" customHeight="1" x14ac:dyDescent="0.25">
      <c r="A418" s="17"/>
      <c r="B418" s="20" t="s">
        <v>513</v>
      </c>
      <c r="C418" s="9"/>
      <c r="D418" s="9"/>
      <c r="E418" s="9" t="s">
        <v>10</v>
      </c>
      <c r="F418" s="9"/>
      <c r="G418" s="9" t="s">
        <v>512</v>
      </c>
      <c r="H418" s="11">
        <f>3.9*5.05</f>
        <v>19.695</v>
      </c>
      <c r="I418" s="18">
        <f>(3060000-38000-32000)*80%</f>
        <v>2392000</v>
      </c>
      <c r="J418" s="85">
        <v>1</v>
      </c>
      <c r="K418" s="18">
        <f t="shared" si="71"/>
        <v>47110440</v>
      </c>
      <c r="L418" s="84"/>
      <c r="N418" s="8">
        <f t="shared" si="72"/>
        <v>2392000</v>
      </c>
      <c r="O418" s="7"/>
    </row>
    <row r="419" spans="1:15" s="6" customFormat="1" ht="15.75" customHeight="1" x14ac:dyDescent="0.25">
      <c r="A419" s="17"/>
      <c r="B419" s="87" t="s">
        <v>56</v>
      </c>
      <c r="C419" s="9"/>
      <c r="D419" s="9"/>
      <c r="E419" s="9" t="s">
        <v>10</v>
      </c>
      <c r="F419" s="9"/>
      <c r="G419" s="9" t="s">
        <v>511</v>
      </c>
      <c r="H419" s="88">
        <f>3.5*4.65</f>
        <v>16.275000000000002</v>
      </c>
      <c r="I419" s="12">
        <v>77000</v>
      </c>
      <c r="J419" s="85">
        <v>1</v>
      </c>
      <c r="K419" s="12">
        <f t="shared" si="71"/>
        <v>1253175.0000000002</v>
      </c>
      <c r="L419" s="84"/>
      <c r="N419" s="8">
        <f t="shared" si="72"/>
        <v>77000</v>
      </c>
      <c r="O419" s="7"/>
    </row>
    <row r="420" spans="1:15" s="6" customFormat="1" ht="15.75" customHeight="1" x14ac:dyDescent="0.25">
      <c r="A420" s="17"/>
      <c r="B420" s="87" t="s">
        <v>45</v>
      </c>
      <c r="C420" s="9"/>
      <c r="D420" s="9"/>
      <c r="E420" s="9" t="s">
        <v>10</v>
      </c>
      <c r="F420" s="9"/>
      <c r="G420" s="9" t="s">
        <v>511</v>
      </c>
      <c r="H420" s="88">
        <f>-(3.5*4.65)</f>
        <v>-16.275000000000002</v>
      </c>
      <c r="I420" s="12">
        <v>102000</v>
      </c>
      <c r="J420" s="85">
        <v>1</v>
      </c>
      <c r="K420" s="12">
        <f t="shared" si="71"/>
        <v>-1660050.0000000002</v>
      </c>
      <c r="L420" s="84"/>
      <c r="N420" s="8">
        <f t="shared" si="72"/>
        <v>102000</v>
      </c>
      <c r="O420" s="7"/>
    </row>
    <row r="421" spans="1:15" s="6" customFormat="1" ht="31.5" customHeight="1" x14ac:dyDescent="0.25">
      <c r="A421" s="17"/>
      <c r="B421" s="87" t="s">
        <v>342</v>
      </c>
      <c r="C421" s="9"/>
      <c r="D421" s="9"/>
      <c r="E421" s="9" t="s">
        <v>10</v>
      </c>
      <c r="F421" s="9"/>
      <c r="G421" s="9" t="s">
        <v>510</v>
      </c>
      <c r="H421" s="88">
        <f>-5.05*3.3</f>
        <v>-16.664999999999999</v>
      </c>
      <c r="I421" s="12">
        <v>425000</v>
      </c>
      <c r="J421" s="85">
        <v>1</v>
      </c>
      <c r="K421" s="12">
        <f t="shared" si="71"/>
        <v>-7082625</v>
      </c>
      <c r="L421" s="84"/>
      <c r="N421" s="8">
        <f t="shared" si="72"/>
        <v>425000</v>
      </c>
      <c r="O421" s="7"/>
    </row>
    <row r="422" spans="1:15" s="6" customFormat="1" ht="15.75" customHeight="1" x14ac:dyDescent="0.25">
      <c r="A422" s="17"/>
      <c r="B422" s="17" t="s">
        <v>256</v>
      </c>
      <c r="C422" s="9"/>
      <c r="D422" s="9"/>
      <c r="E422" s="9" t="s">
        <v>16</v>
      </c>
      <c r="F422" s="9"/>
      <c r="G422" s="9"/>
      <c r="H422" s="11">
        <v>2</v>
      </c>
      <c r="I422" s="18">
        <v>143000</v>
      </c>
      <c r="J422" s="85">
        <v>1</v>
      </c>
      <c r="K422" s="12">
        <f t="shared" si="71"/>
        <v>286000</v>
      </c>
      <c r="L422" s="84"/>
      <c r="N422" s="8">
        <f t="shared" si="72"/>
        <v>143000</v>
      </c>
      <c r="O422" s="7"/>
    </row>
    <row r="423" spans="1:15" s="6" customFormat="1" ht="15.75" customHeight="1" x14ac:dyDescent="0.25">
      <c r="A423" s="17"/>
      <c r="B423" s="17" t="s">
        <v>509</v>
      </c>
      <c r="C423" s="9"/>
      <c r="D423" s="9"/>
      <c r="E423" s="9" t="s">
        <v>16</v>
      </c>
      <c r="F423" s="9"/>
      <c r="G423" s="9"/>
      <c r="H423" s="11">
        <v>2</v>
      </c>
      <c r="I423" s="18">
        <v>350000</v>
      </c>
      <c r="J423" s="85">
        <v>1</v>
      </c>
      <c r="K423" s="12">
        <f t="shared" si="71"/>
        <v>700000</v>
      </c>
      <c r="L423" s="84"/>
      <c r="N423" s="8">
        <f t="shared" si="72"/>
        <v>350000</v>
      </c>
      <c r="O423" s="7"/>
    </row>
    <row r="424" spans="1:15" s="6" customFormat="1" ht="15.75" customHeight="1" x14ac:dyDescent="0.25">
      <c r="A424" s="17"/>
      <c r="B424" s="17" t="s">
        <v>17</v>
      </c>
      <c r="C424" s="9"/>
      <c r="D424" s="9"/>
      <c r="E424" s="9" t="s">
        <v>16</v>
      </c>
      <c r="F424" s="9"/>
      <c r="G424" s="9"/>
      <c r="H424" s="11">
        <v>2</v>
      </c>
      <c r="I424" s="18">
        <v>450000</v>
      </c>
      <c r="J424" s="85">
        <v>1</v>
      </c>
      <c r="K424" s="12">
        <f t="shared" si="71"/>
        <v>900000</v>
      </c>
      <c r="L424" s="84"/>
      <c r="N424" s="19">
        <v>450000</v>
      </c>
      <c r="O424" s="7"/>
    </row>
    <row r="425" spans="1:15" s="6" customFormat="1" ht="31.5" customHeight="1" x14ac:dyDescent="0.25">
      <c r="A425" s="17"/>
      <c r="B425" s="17" t="s">
        <v>508</v>
      </c>
      <c r="C425" s="9"/>
      <c r="D425" s="9"/>
      <c r="E425" s="9" t="s">
        <v>15</v>
      </c>
      <c r="F425" s="9" t="s">
        <v>507</v>
      </c>
      <c r="G425" s="21" t="s">
        <v>506</v>
      </c>
      <c r="H425" s="88">
        <f>2*(0.9+2.3)*1.2*0.11+2*(0.9*1.7)*1*0.11</f>
        <v>1.1814</v>
      </c>
      <c r="I425" s="18">
        <v>2135000</v>
      </c>
      <c r="J425" s="85">
        <v>1</v>
      </c>
      <c r="K425" s="12">
        <f t="shared" si="71"/>
        <v>2522289</v>
      </c>
      <c r="L425" s="84"/>
      <c r="N425" s="8">
        <f t="shared" ref="N425:N431" si="73">+I425</f>
        <v>2135000</v>
      </c>
      <c r="O425" s="7"/>
    </row>
    <row r="426" spans="1:15" s="6" customFormat="1" ht="15.75" customHeight="1" x14ac:dyDescent="0.25">
      <c r="A426" s="17"/>
      <c r="B426" s="17" t="s">
        <v>505</v>
      </c>
      <c r="C426" s="9"/>
      <c r="D426" s="9"/>
      <c r="E426" s="9" t="s">
        <v>10</v>
      </c>
      <c r="F426" s="9"/>
      <c r="G426" s="9" t="s">
        <v>504</v>
      </c>
      <c r="H426" s="11">
        <f>2.7*0.9</f>
        <v>2.4300000000000002</v>
      </c>
      <c r="I426" s="18">
        <v>77000</v>
      </c>
      <c r="J426" s="85">
        <v>1</v>
      </c>
      <c r="K426" s="12">
        <f t="shared" si="71"/>
        <v>187110</v>
      </c>
      <c r="L426" s="84"/>
      <c r="N426" s="8">
        <f t="shared" si="73"/>
        <v>77000</v>
      </c>
      <c r="O426" s="7"/>
    </row>
    <row r="427" spans="1:15" s="6" customFormat="1" ht="15.75" customHeight="1" x14ac:dyDescent="0.25">
      <c r="A427" s="17"/>
      <c r="B427" s="20" t="s">
        <v>333</v>
      </c>
      <c r="C427" s="9"/>
      <c r="D427" s="9"/>
      <c r="E427" s="9" t="s">
        <v>10</v>
      </c>
      <c r="F427" s="9"/>
      <c r="G427" s="9" t="s">
        <v>503</v>
      </c>
      <c r="H427" s="11">
        <f>2.7*1.3</f>
        <v>3.5100000000000002</v>
      </c>
      <c r="I427" s="18">
        <v>255000</v>
      </c>
      <c r="J427" s="85">
        <v>1</v>
      </c>
      <c r="K427" s="18">
        <f t="shared" si="71"/>
        <v>895050.00000000012</v>
      </c>
      <c r="L427" s="84"/>
      <c r="N427" s="8">
        <f t="shared" si="73"/>
        <v>255000</v>
      </c>
      <c r="O427" s="7"/>
    </row>
    <row r="428" spans="1:15" s="6" customFormat="1" ht="15.75" customHeight="1" x14ac:dyDescent="0.25">
      <c r="A428" s="17"/>
      <c r="B428" s="17" t="s">
        <v>335</v>
      </c>
      <c r="C428" s="9"/>
      <c r="D428" s="9"/>
      <c r="E428" s="9" t="s">
        <v>10</v>
      </c>
      <c r="F428" s="9"/>
      <c r="G428" s="9" t="s">
        <v>502</v>
      </c>
      <c r="H428" s="88">
        <f>3.3*1.55+3.3*0.9+0.5*0.9</f>
        <v>8.5350000000000001</v>
      </c>
      <c r="I428" s="18">
        <v>459000</v>
      </c>
      <c r="J428" s="85">
        <v>1</v>
      </c>
      <c r="K428" s="18">
        <f t="shared" si="71"/>
        <v>3917565</v>
      </c>
      <c r="L428" s="84"/>
      <c r="N428" s="8">
        <f t="shared" si="73"/>
        <v>459000</v>
      </c>
      <c r="O428" s="7"/>
    </row>
    <row r="429" spans="1:15" s="6" customFormat="1" ht="31.5" customHeight="1" x14ac:dyDescent="0.25">
      <c r="A429" s="17"/>
      <c r="B429" s="20" t="s">
        <v>501</v>
      </c>
      <c r="C429" s="9"/>
      <c r="D429" s="9"/>
      <c r="E429" s="9" t="s">
        <v>14</v>
      </c>
      <c r="F429" s="9"/>
      <c r="G429" s="21" t="s">
        <v>500</v>
      </c>
      <c r="H429" s="88">
        <f>1*2+2.8*3+1.8*3+2.1*2+0.5+2.8*2*3+0.95*2*3</f>
        <v>43</v>
      </c>
      <c r="I429" s="18">
        <v>30000</v>
      </c>
      <c r="J429" s="85">
        <v>1</v>
      </c>
      <c r="K429" s="18">
        <f t="shared" si="71"/>
        <v>1290000</v>
      </c>
      <c r="L429" s="84"/>
      <c r="N429" s="8">
        <f t="shared" si="73"/>
        <v>30000</v>
      </c>
      <c r="O429" s="7"/>
    </row>
    <row r="430" spans="1:15" s="6" customFormat="1" ht="31.5" customHeight="1" x14ac:dyDescent="0.25">
      <c r="A430" s="17"/>
      <c r="B430" s="20" t="s">
        <v>499</v>
      </c>
      <c r="C430" s="9"/>
      <c r="D430" s="9"/>
      <c r="E430" s="9" t="s">
        <v>10</v>
      </c>
      <c r="F430" s="9"/>
      <c r="G430" s="21" t="s">
        <v>498</v>
      </c>
      <c r="H430" s="88">
        <f>1.7*1.55+0.8*2.35+0.45*2*1.55+0.8*2.3*3</f>
        <v>11.43</v>
      </c>
      <c r="I430" s="18">
        <v>105000</v>
      </c>
      <c r="J430" s="85">
        <v>1</v>
      </c>
      <c r="K430" s="18">
        <f t="shared" si="71"/>
        <v>1200150</v>
      </c>
      <c r="L430" s="84"/>
      <c r="N430" s="8">
        <f t="shared" si="73"/>
        <v>105000</v>
      </c>
      <c r="O430" s="7"/>
    </row>
    <row r="431" spans="1:15" s="6" customFormat="1" ht="15.75" customHeight="1" x14ac:dyDescent="0.25">
      <c r="A431" s="17"/>
      <c r="B431" s="20" t="s">
        <v>108</v>
      </c>
      <c r="C431" s="9"/>
      <c r="D431" s="9"/>
      <c r="E431" s="9" t="s">
        <v>15</v>
      </c>
      <c r="F431" s="9" t="s">
        <v>338</v>
      </c>
      <c r="G431" s="9" t="s">
        <v>497</v>
      </c>
      <c r="H431" s="88">
        <f>2.6*1.4*0.15+2.3*2.6*0.15</f>
        <v>1.4429999999999998</v>
      </c>
      <c r="I431" s="18">
        <v>3462000</v>
      </c>
      <c r="J431" s="85">
        <v>1</v>
      </c>
      <c r="K431" s="18">
        <f t="shared" si="71"/>
        <v>4995665.9999999991</v>
      </c>
      <c r="L431" s="84"/>
      <c r="N431" s="8">
        <f t="shared" si="73"/>
        <v>3462000</v>
      </c>
      <c r="O431" s="7" t="s">
        <v>804</v>
      </c>
    </row>
    <row r="432" spans="1:15" s="6" customFormat="1" ht="63" customHeight="1" x14ac:dyDescent="0.25">
      <c r="A432" s="17"/>
      <c r="B432" s="20" t="s">
        <v>496</v>
      </c>
      <c r="C432" s="9"/>
      <c r="D432" s="9"/>
      <c r="E432" s="9" t="s">
        <v>10</v>
      </c>
      <c r="F432" s="9"/>
      <c r="G432" s="9" t="s">
        <v>495</v>
      </c>
      <c r="H432" s="11">
        <f>5.05*6.5+5.05*10.5</f>
        <v>85.85</v>
      </c>
      <c r="I432" s="18">
        <f>(2510000-38000-90000)*80%</f>
        <v>1905600</v>
      </c>
      <c r="J432" s="85">
        <v>1</v>
      </c>
      <c r="K432" s="18">
        <f t="shared" si="71"/>
        <v>163595760</v>
      </c>
      <c r="L432" s="84"/>
      <c r="N432" s="8">
        <f t="shared" ref="N432:N439" si="74">+I432</f>
        <v>1905600</v>
      </c>
      <c r="O432" s="7"/>
    </row>
    <row r="433" spans="1:15" s="6" customFormat="1" ht="15.75" customHeight="1" x14ac:dyDescent="0.25">
      <c r="A433" s="17"/>
      <c r="B433" s="87" t="s">
        <v>56</v>
      </c>
      <c r="C433" s="9"/>
      <c r="D433" s="9"/>
      <c r="E433" s="9" t="s">
        <v>10</v>
      </c>
      <c r="F433" s="9"/>
      <c r="G433" s="21" t="s">
        <v>494</v>
      </c>
      <c r="H433" s="88">
        <f>4.85*6.3+4.85*10.3</f>
        <v>80.509999999999991</v>
      </c>
      <c r="I433" s="12">
        <v>77000</v>
      </c>
      <c r="J433" s="85">
        <v>1</v>
      </c>
      <c r="K433" s="12">
        <f t="shared" si="71"/>
        <v>6199269.9999999991</v>
      </c>
      <c r="L433" s="84"/>
      <c r="N433" s="8">
        <f t="shared" si="74"/>
        <v>77000</v>
      </c>
      <c r="O433" s="7"/>
    </row>
    <row r="434" spans="1:15" s="6" customFormat="1" ht="15.75" customHeight="1" x14ac:dyDescent="0.25">
      <c r="A434" s="17"/>
      <c r="B434" s="87" t="s">
        <v>45</v>
      </c>
      <c r="C434" s="9"/>
      <c r="D434" s="9"/>
      <c r="E434" s="9" t="s">
        <v>10</v>
      </c>
      <c r="F434" s="9"/>
      <c r="G434" s="9" t="s">
        <v>494</v>
      </c>
      <c r="H434" s="88">
        <f>-(4.85*6.3+4.85*10.3)</f>
        <v>-80.509999999999991</v>
      </c>
      <c r="I434" s="12">
        <v>102000</v>
      </c>
      <c r="J434" s="85">
        <v>1</v>
      </c>
      <c r="K434" s="12">
        <f t="shared" si="71"/>
        <v>-8212019.9999999991</v>
      </c>
      <c r="L434" s="84"/>
      <c r="N434" s="8">
        <f t="shared" si="74"/>
        <v>102000</v>
      </c>
      <c r="O434" s="7"/>
    </row>
    <row r="435" spans="1:15" s="6" customFormat="1" ht="31.5" customHeight="1" x14ac:dyDescent="0.25">
      <c r="A435" s="17"/>
      <c r="B435" s="87" t="s">
        <v>106</v>
      </c>
      <c r="C435" s="9"/>
      <c r="D435" s="9"/>
      <c r="E435" s="9" t="s">
        <v>10</v>
      </c>
      <c r="F435" s="9"/>
      <c r="G435" s="9" t="s">
        <v>493</v>
      </c>
      <c r="H435" s="88">
        <f>-(5.05*2*3.3)</f>
        <v>-33.33</v>
      </c>
      <c r="I435" s="12">
        <v>255000</v>
      </c>
      <c r="J435" s="85">
        <v>1</v>
      </c>
      <c r="K435" s="12">
        <f t="shared" si="71"/>
        <v>-8499150</v>
      </c>
      <c r="L435" s="84"/>
      <c r="N435" s="8">
        <f t="shared" si="74"/>
        <v>255000</v>
      </c>
      <c r="O435" s="7"/>
    </row>
    <row r="436" spans="1:15" s="6" customFormat="1" ht="15.75" customHeight="1" x14ac:dyDescent="0.25">
      <c r="A436" s="17"/>
      <c r="B436" s="20" t="s">
        <v>63</v>
      </c>
      <c r="C436" s="9"/>
      <c r="D436" s="9"/>
      <c r="E436" s="9" t="s">
        <v>14</v>
      </c>
      <c r="F436" s="9"/>
      <c r="G436" s="9"/>
      <c r="H436" s="11">
        <v>50</v>
      </c>
      <c r="I436" s="18">
        <v>6000</v>
      </c>
      <c r="J436" s="85">
        <v>1</v>
      </c>
      <c r="K436" s="18">
        <f t="shared" si="71"/>
        <v>300000</v>
      </c>
      <c r="L436" s="84"/>
      <c r="N436" s="8">
        <f t="shared" si="74"/>
        <v>6000</v>
      </c>
      <c r="O436" s="7" t="s">
        <v>804</v>
      </c>
    </row>
    <row r="437" spans="1:15" s="6" customFormat="1" ht="31.5" customHeight="1" x14ac:dyDescent="0.25">
      <c r="A437" s="17"/>
      <c r="B437" s="20" t="s">
        <v>243</v>
      </c>
      <c r="C437" s="9"/>
      <c r="D437" s="9"/>
      <c r="E437" s="9" t="s">
        <v>14</v>
      </c>
      <c r="F437" s="9"/>
      <c r="G437" s="9"/>
      <c r="H437" s="11">
        <v>25.5</v>
      </c>
      <c r="I437" s="18">
        <v>46000</v>
      </c>
      <c r="J437" s="85">
        <v>1</v>
      </c>
      <c r="K437" s="18">
        <f t="shared" si="71"/>
        <v>1173000</v>
      </c>
      <c r="L437" s="84"/>
      <c r="N437" s="8">
        <f t="shared" si="74"/>
        <v>46000</v>
      </c>
      <c r="O437" s="7"/>
    </row>
    <row r="438" spans="1:15" s="6" customFormat="1" ht="15.75" customHeight="1" x14ac:dyDescent="0.25">
      <c r="A438" s="17"/>
      <c r="B438" s="98" t="s">
        <v>12</v>
      </c>
      <c r="C438" s="9"/>
      <c r="D438" s="9"/>
      <c r="E438" s="121" t="s">
        <v>14</v>
      </c>
      <c r="F438" s="121" t="s">
        <v>492</v>
      </c>
      <c r="G438" s="9" t="s">
        <v>46</v>
      </c>
      <c r="H438" s="11">
        <v>50</v>
      </c>
      <c r="I438" s="18">
        <v>136000</v>
      </c>
      <c r="J438" s="85">
        <v>1</v>
      </c>
      <c r="K438" s="18">
        <f t="shared" si="71"/>
        <v>6800000</v>
      </c>
      <c r="L438" s="84"/>
      <c r="N438" s="8">
        <f t="shared" si="74"/>
        <v>136000</v>
      </c>
      <c r="O438" s="7"/>
    </row>
    <row r="439" spans="1:15" s="6" customFormat="1" ht="15.75" customHeight="1" x14ac:dyDescent="0.25">
      <c r="A439" s="17"/>
      <c r="B439" s="98" t="s">
        <v>64</v>
      </c>
      <c r="C439" s="9"/>
      <c r="D439" s="9"/>
      <c r="E439" s="121"/>
      <c r="F439" s="121"/>
      <c r="G439" s="9"/>
      <c r="H439" s="11">
        <v>9</v>
      </c>
      <c r="I439" s="18">
        <v>245000</v>
      </c>
      <c r="J439" s="85">
        <v>1</v>
      </c>
      <c r="K439" s="18">
        <f t="shared" si="71"/>
        <v>2205000</v>
      </c>
      <c r="L439" s="84"/>
      <c r="N439" s="8">
        <f t="shared" si="74"/>
        <v>245000</v>
      </c>
      <c r="O439" s="7"/>
    </row>
    <row r="440" spans="1:15" s="6" customFormat="1" ht="15.75" customHeight="1" x14ac:dyDescent="0.25">
      <c r="A440" s="17"/>
      <c r="B440" s="20" t="s">
        <v>491</v>
      </c>
      <c r="C440" s="9"/>
      <c r="D440" s="9"/>
      <c r="E440" s="9" t="s">
        <v>15</v>
      </c>
      <c r="F440" s="9" t="s">
        <v>43</v>
      </c>
      <c r="G440" s="9" t="s">
        <v>490</v>
      </c>
      <c r="H440" s="11">
        <f>2*5.05*0.15</f>
        <v>1.5149999999999999</v>
      </c>
      <c r="I440" s="18">
        <v>0</v>
      </c>
      <c r="J440" s="85">
        <v>1</v>
      </c>
      <c r="K440" s="18">
        <f t="shared" si="71"/>
        <v>0</v>
      </c>
      <c r="L440" s="84"/>
      <c r="N440" s="7"/>
      <c r="O440" s="7" t="s">
        <v>816</v>
      </c>
    </row>
    <row r="441" spans="1:15" s="6" customFormat="1" ht="15.75" customHeight="1" x14ac:dyDescent="0.25">
      <c r="A441" s="17"/>
      <c r="B441" s="20" t="s">
        <v>387</v>
      </c>
      <c r="C441" s="9"/>
      <c r="D441" s="9"/>
      <c r="E441" s="9" t="s">
        <v>10</v>
      </c>
      <c r="F441" s="9"/>
      <c r="G441" s="9" t="s">
        <v>489</v>
      </c>
      <c r="H441" s="11">
        <f>0.8*0.6*3</f>
        <v>1.44</v>
      </c>
      <c r="I441" s="18">
        <v>255000</v>
      </c>
      <c r="J441" s="85">
        <v>1</v>
      </c>
      <c r="K441" s="18">
        <f t="shared" si="71"/>
        <v>367200</v>
      </c>
      <c r="L441" s="84"/>
      <c r="N441" s="8">
        <f>+I441</f>
        <v>255000</v>
      </c>
      <c r="O441" s="7"/>
    </row>
    <row r="442" spans="1:15" s="6" customFormat="1" ht="15.75" customHeight="1" x14ac:dyDescent="0.25">
      <c r="A442" s="17"/>
      <c r="B442" s="20" t="s">
        <v>430</v>
      </c>
      <c r="C442" s="9"/>
      <c r="D442" s="9"/>
      <c r="E442" s="9" t="s">
        <v>10</v>
      </c>
      <c r="F442" s="9"/>
      <c r="G442" s="9" t="s">
        <v>488</v>
      </c>
      <c r="H442" s="11">
        <f>(1.2+2.2)*0.6</f>
        <v>2.04</v>
      </c>
      <c r="I442" s="18">
        <v>611000</v>
      </c>
      <c r="J442" s="85">
        <v>1</v>
      </c>
      <c r="K442" s="18">
        <f t="shared" si="71"/>
        <v>1246440</v>
      </c>
      <c r="L442" s="84"/>
      <c r="N442" s="19">
        <v>611000</v>
      </c>
      <c r="O442" s="7"/>
    </row>
    <row r="443" spans="1:15" s="6" customFormat="1" ht="15.75" customHeight="1" x14ac:dyDescent="0.25">
      <c r="A443" s="17"/>
      <c r="B443" s="20" t="s">
        <v>389</v>
      </c>
      <c r="C443" s="9"/>
      <c r="D443" s="9"/>
      <c r="E443" s="9" t="s">
        <v>15</v>
      </c>
      <c r="F443" s="9" t="s">
        <v>43</v>
      </c>
      <c r="G443" s="9" t="s">
        <v>487</v>
      </c>
      <c r="H443" s="11">
        <f>(1.2+2.2)*0.6*0.1</f>
        <v>0.20400000000000001</v>
      </c>
      <c r="I443" s="18">
        <v>3341000</v>
      </c>
      <c r="J443" s="85">
        <v>1</v>
      </c>
      <c r="K443" s="18">
        <f t="shared" si="71"/>
        <v>681564</v>
      </c>
      <c r="L443" s="84"/>
      <c r="N443" s="8">
        <f>+I443</f>
        <v>3341000</v>
      </c>
      <c r="O443" s="7" t="s">
        <v>804</v>
      </c>
    </row>
    <row r="444" spans="1:15" s="6" customFormat="1" ht="31.5" customHeight="1" x14ac:dyDescent="0.25">
      <c r="A444" s="17"/>
      <c r="B444" s="17" t="s">
        <v>411</v>
      </c>
      <c r="C444" s="9"/>
      <c r="D444" s="9"/>
      <c r="E444" s="9" t="s">
        <v>15</v>
      </c>
      <c r="F444" s="17"/>
      <c r="G444" s="21" t="s">
        <v>486</v>
      </c>
      <c r="H444" s="22">
        <f>(1.2*1.2*0.15+0.7*0.7*0.25+0.7*0.3*0.3)*12</f>
        <v>4.8179999999999996</v>
      </c>
      <c r="I444" s="18">
        <v>4282000</v>
      </c>
      <c r="J444" s="85">
        <v>1</v>
      </c>
      <c r="K444" s="18">
        <f t="shared" si="71"/>
        <v>20630676</v>
      </c>
      <c r="L444" s="84"/>
      <c r="N444" s="8">
        <f>+I444</f>
        <v>4282000</v>
      </c>
      <c r="O444" s="7" t="s">
        <v>804</v>
      </c>
    </row>
    <row r="445" spans="1:15" s="6" customFormat="1" ht="15.75" customHeight="1" x14ac:dyDescent="0.25">
      <c r="A445" s="17"/>
      <c r="B445" s="20" t="s">
        <v>485</v>
      </c>
      <c r="C445" s="9"/>
      <c r="D445" s="9"/>
      <c r="E445" s="9" t="s">
        <v>15</v>
      </c>
      <c r="F445" s="17"/>
      <c r="G445" s="9" t="s">
        <v>484</v>
      </c>
      <c r="H445" s="22">
        <f>(5*6+15.5*2)*0.6*1.1</f>
        <v>40.260000000000005</v>
      </c>
      <c r="I445" s="18">
        <v>552000</v>
      </c>
      <c r="J445" s="85">
        <v>1</v>
      </c>
      <c r="K445" s="18">
        <f t="shared" si="71"/>
        <v>22223520.000000004</v>
      </c>
      <c r="L445" s="84"/>
      <c r="N445" s="8">
        <f t="shared" ref="N445:N451" si="75">+I445</f>
        <v>552000</v>
      </c>
      <c r="O445" s="7"/>
    </row>
    <row r="446" spans="1:15" s="6" customFormat="1" x14ac:dyDescent="0.25">
      <c r="A446" s="17"/>
      <c r="B446" s="17" t="s">
        <v>350</v>
      </c>
      <c r="C446" s="9"/>
      <c r="D446" s="9"/>
      <c r="E446" s="9" t="s">
        <v>15</v>
      </c>
      <c r="F446" s="9"/>
      <c r="G446" s="9" t="s">
        <v>483</v>
      </c>
      <c r="H446" s="24">
        <f>(5*15.5)*1.1-40.26</f>
        <v>44.99</v>
      </c>
      <c r="I446" s="18">
        <v>127000</v>
      </c>
      <c r="J446" s="85">
        <v>1</v>
      </c>
      <c r="K446" s="18">
        <f t="shared" si="71"/>
        <v>5713730</v>
      </c>
      <c r="L446" s="84"/>
      <c r="N446" s="8">
        <f t="shared" si="75"/>
        <v>127000</v>
      </c>
      <c r="O446" s="7" t="s">
        <v>808</v>
      </c>
    </row>
    <row r="447" spans="1:15" s="6" customFormat="1" ht="15.75" customHeight="1" x14ac:dyDescent="0.25">
      <c r="A447" s="17"/>
      <c r="B447" s="20" t="s">
        <v>379</v>
      </c>
      <c r="C447" s="9"/>
      <c r="D447" s="9"/>
      <c r="E447" s="9" t="s">
        <v>10</v>
      </c>
      <c r="F447" s="9"/>
      <c r="G447" s="9" t="s">
        <v>482</v>
      </c>
      <c r="H447" s="11">
        <f>(2.3+2.7)*2.1</f>
        <v>10.5</v>
      </c>
      <c r="I447" s="18">
        <v>221900</v>
      </c>
      <c r="J447" s="85">
        <v>1</v>
      </c>
      <c r="K447" s="18">
        <f t="shared" si="71"/>
        <v>2329950</v>
      </c>
      <c r="L447" s="84"/>
      <c r="N447" s="19">
        <f t="shared" si="75"/>
        <v>221900</v>
      </c>
      <c r="O447" s="7"/>
    </row>
    <row r="448" spans="1:15" s="6" customFormat="1" ht="31.5" customHeight="1" x14ac:dyDescent="0.25">
      <c r="A448" s="17"/>
      <c r="B448" s="20" t="s">
        <v>393</v>
      </c>
      <c r="C448" s="9"/>
      <c r="D448" s="9"/>
      <c r="E448" s="9" t="s">
        <v>10</v>
      </c>
      <c r="F448" s="9"/>
      <c r="G448" s="9" t="s">
        <v>481</v>
      </c>
      <c r="H448" s="22">
        <f>0.27*1.1*50+0.35*1*3+0.9*1.1*4+(0.27*0.14)*55</f>
        <v>21.939000000000004</v>
      </c>
      <c r="I448" s="18">
        <v>611000</v>
      </c>
      <c r="J448" s="85">
        <v>1</v>
      </c>
      <c r="K448" s="18">
        <f t="shared" si="71"/>
        <v>13404729.000000002</v>
      </c>
      <c r="L448" s="84"/>
      <c r="N448" s="8">
        <f t="shared" si="75"/>
        <v>611000</v>
      </c>
      <c r="O448" s="7"/>
    </row>
    <row r="449" spans="1:15" s="6" customFormat="1" ht="15.75" customHeight="1" x14ac:dyDescent="0.25">
      <c r="A449" s="17"/>
      <c r="B449" s="20" t="s">
        <v>480</v>
      </c>
      <c r="C449" s="9"/>
      <c r="D449" s="9"/>
      <c r="E449" s="9" t="s">
        <v>10</v>
      </c>
      <c r="F449" s="9"/>
      <c r="G449" s="9" t="s">
        <v>479</v>
      </c>
      <c r="H449" s="22">
        <f>4.1*3</f>
        <v>12.299999999999999</v>
      </c>
      <c r="I449" s="18">
        <v>459000</v>
      </c>
      <c r="J449" s="85">
        <v>1</v>
      </c>
      <c r="K449" s="18">
        <f t="shared" si="71"/>
        <v>5645699.9999999991</v>
      </c>
      <c r="L449" s="84"/>
      <c r="N449" s="8">
        <f t="shared" si="75"/>
        <v>459000</v>
      </c>
      <c r="O449" s="7"/>
    </row>
    <row r="450" spans="1:15" s="6" customFormat="1" ht="15.75" customHeight="1" x14ac:dyDescent="0.25">
      <c r="A450" s="17"/>
      <c r="B450" s="20" t="s">
        <v>478</v>
      </c>
      <c r="C450" s="9"/>
      <c r="D450" s="9"/>
      <c r="E450" s="9" t="s">
        <v>10</v>
      </c>
      <c r="F450" s="9"/>
      <c r="G450" s="9" t="s">
        <v>525</v>
      </c>
      <c r="H450" s="22">
        <f>1*4.85+3*0.12*4.85*3</f>
        <v>10.087999999999999</v>
      </c>
      <c r="I450" s="18">
        <v>611000</v>
      </c>
      <c r="J450" s="85">
        <v>1</v>
      </c>
      <c r="K450" s="18">
        <f t="shared" si="71"/>
        <v>6163767.9999999991</v>
      </c>
      <c r="L450" s="84"/>
      <c r="N450" s="8">
        <f t="shared" si="75"/>
        <v>611000</v>
      </c>
      <c r="O450" s="7"/>
    </row>
    <row r="451" spans="1:15" s="6" customFormat="1" ht="15.75" customHeight="1" x14ac:dyDescent="0.25">
      <c r="A451" s="17"/>
      <c r="B451" s="20" t="s">
        <v>477</v>
      </c>
      <c r="C451" s="9"/>
      <c r="D451" s="9"/>
      <c r="E451" s="9" t="s">
        <v>15</v>
      </c>
      <c r="F451" s="9"/>
      <c r="G451" s="9" t="s">
        <v>476</v>
      </c>
      <c r="H451" s="22">
        <f>1.3*1.5*0.22*2</f>
        <v>0.8580000000000001</v>
      </c>
      <c r="I451" s="18">
        <v>1145000</v>
      </c>
      <c r="J451" s="85">
        <v>1</v>
      </c>
      <c r="K451" s="18">
        <f t="shared" si="71"/>
        <v>982410.00000000012</v>
      </c>
      <c r="L451" s="84"/>
      <c r="N451" s="8">
        <f t="shared" si="75"/>
        <v>1145000</v>
      </c>
      <c r="O451" s="7"/>
    </row>
    <row r="452" spans="1:15" s="6" customFormat="1" ht="15.75" customHeight="1" x14ac:dyDescent="0.25">
      <c r="A452" s="17"/>
      <c r="B452" s="20" t="s">
        <v>475</v>
      </c>
      <c r="C452" s="9"/>
      <c r="D452" s="9"/>
      <c r="E452" s="9" t="s">
        <v>15</v>
      </c>
      <c r="F452" s="9" t="s">
        <v>43</v>
      </c>
      <c r="G452" s="9" t="s">
        <v>474</v>
      </c>
      <c r="H452" s="22">
        <f>(0.9*2.3+0.9*1.7)*0.1*4</f>
        <v>1.44</v>
      </c>
      <c r="I452" s="18">
        <v>3341000</v>
      </c>
      <c r="J452" s="85">
        <v>1</v>
      </c>
      <c r="K452" s="18">
        <f t="shared" si="71"/>
        <v>4811040</v>
      </c>
      <c r="L452" s="84"/>
      <c r="N452" s="8">
        <f t="shared" ref="N452:N458" si="76">+I452</f>
        <v>3341000</v>
      </c>
      <c r="O452" s="7" t="s">
        <v>804</v>
      </c>
    </row>
    <row r="453" spans="1:15" s="6" customFormat="1" ht="33" customHeight="1" x14ac:dyDescent="0.25">
      <c r="A453" s="17"/>
      <c r="B453" s="20" t="s">
        <v>473</v>
      </c>
      <c r="C453" s="9"/>
      <c r="D453" s="9"/>
      <c r="E453" s="9" t="s">
        <v>10</v>
      </c>
      <c r="F453" s="9"/>
      <c r="G453" s="9" t="s">
        <v>472</v>
      </c>
      <c r="H453" s="22">
        <f>2.4*2.5</f>
        <v>6</v>
      </c>
      <c r="I453" s="18">
        <v>162000</v>
      </c>
      <c r="J453" s="85">
        <v>1</v>
      </c>
      <c r="K453" s="18">
        <f t="shared" si="71"/>
        <v>972000</v>
      </c>
      <c r="L453" s="84"/>
      <c r="N453" s="8">
        <f t="shared" si="76"/>
        <v>162000</v>
      </c>
      <c r="O453" s="7"/>
    </row>
    <row r="454" spans="1:15" s="191" customFormat="1" ht="15.75" customHeight="1" x14ac:dyDescent="0.25">
      <c r="A454" s="195"/>
      <c r="B454" s="186" t="s">
        <v>803</v>
      </c>
      <c r="C454" s="185"/>
      <c r="D454" s="185"/>
      <c r="E454" s="185" t="s">
        <v>47</v>
      </c>
      <c r="F454" s="185"/>
      <c r="G454" s="185"/>
      <c r="H454" s="187">
        <v>6</v>
      </c>
      <c r="I454" s="188">
        <v>2000000</v>
      </c>
      <c r="J454" s="189">
        <v>1</v>
      </c>
      <c r="K454" s="188">
        <f t="shared" si="71"/>
        <v>12000000</v>
      </c>
      <c r="L454" s="190"/>
      <c r="N454" s="192">
        <f t="shared" si="76"/>
        <v>2000000</v>
      </c>
      <c r="O454" s="193"/>
    </row>
    <row r="455" spans="1:15" s="191" customFormat="1" ht="15.75" customHeight="1" x14ac:dyDescent="0.25">
      <c r="A455" s="195"/>
      <c r="B455" s="186" t="s">
        <v>48</v>
      </c>
      <c r="C455" s="185"/>
      <c r="D455" s="185"/>
      <c r="E455" s="185" t="s">
        <v>49</v>
      </c>
      <c r="F455" s="185"/>
      <c r="G455" s="185"/>
      <c r="H455" s="187">
        <v>1</v>
      </c>
      <c r="I455" s="188">
        <v>5000000</v>
      </c>
      <c r="J455" s="189">
        <v>1</v>
      </c>
      <c r="K455" s="188">
        <f t="shared" si="71"/>
        <v>5000000</v>
      </c>
      <c r="L455" s="190"/>
      <c r="N455" s="192">
        <f t="shared" si="76"/>
        <v>5000000</v>
      </c>
      <c r="O455" s="193"/>
    </row>
    <row r="456" spans="1:15" s="6" customFormat="1" ht="15.75" customHeight="1" x14ac:dyDescent="0.25">
      <c r="A456" s="9"/>
      <c r="B456" s="17" t="s">
        <v>526</v>
      </c>
      <c r="C456" s="9"/>
      <c r="D456" s="9"/>
      <c r="E456" s="9" t="s">
        <v>15</v>
      </c>
      <c r="F456" s="9"/>
      <c r="G456" s="9" t="s">
        <v>527</v>
      </c>
      <c r="H456" s="24">
        <f>2.7*0.25*1.8</f>
        <v>1.2150000000000001</v>
      </c>
      <c r="I456" s="12">
        <v>914000</v>
      </c>
      <c r="J456" s="85">
        <v>1</v>
      </c>
      <c r="K456" s="18">
        <f t="shared" si="71"/>
        <v>1110510</v>
      </c>
      <c r="L456" s="84"/>
      <c r="N456" s="8">
        <f t="shared" si="76"/>
        <v>914000</v>
      </c>
      <c r="O456" s="7"/>
    </row>
    <row r="457" spans="1:15" s="6" customFormat="1" ht="15.75" customHeight="1" x14ac:dyDescent="0.25">
      <c r="A457" s="9"/>
      <c r="B457" s="17" t="s">
        <v>528</v>
      </c>
      <c r="C457" s="9"/>
      <c r="D457" s="9"/>
      <c r="E457" s="9" t="s">
        <v>15</v>
      </c>
      <c r="F457" s="9"/>
      <c r="G457" s="9" t="s">
        <v>529</v>
      </c>
      <c r="H457" s="24">
        <f>(3.9*2+5.05*2)*0.45*0.8</f>
        <v>6.444</v>
      </c>
      <c r="I457" s="12">
        <v>552000</v>
      </c>
      <c r="J457" s="85">
        <v>1</v>
      </c>
      <c r="K457" s="18">
        <f t="shared" si="71"/>
        <v>3557088</v>
      </c>
      <c r="L457" s="84"/>
      <c r="N457" s="8">
        <f t="shared" si="76"/>
        <v>552000</v>
      </c>
      <c r="O457" s="7"/>
    </row>
    <row r="458" spans="1:15" s="6" customFormat="1" x14ac:dyDescent="0.25">
      <c r="A458" s="9"/>
      <c r="B458" s="17" t="s">
        <v>530</v>
      </c>
      <c r="C458" s="9"/>
      <c r="D458" s="9"/>
      <c r="E458" s="9" t="s">
        <v>15</v>
      </c>
      <c r="F458" s="9"/>
      <c r="G458" s="9" t="s">
        <v>531</v>
      </c>
      <c r="H458" s="24">
        <f>(3.9*5.05*0.8)-6.444</f>
        <v>9.3120000000000012</v>
      </c>
      <c r="I458" s="12">
        <v>127000</v>
      </c>
      <c r="J458" s="85">
        <v>1</v>
      </c>
      <c r="K458" s="18">
        <f t="shared" si="71"/>
        <v>1182624.0000000002</v>
      </c>
      <c r="L458" s="84"/>
      <c r="N458" s="8">
        <f t="shared" si="76"/>
        <v>127000</v>
      </c>
      <c r="O458" s="7" t="s">
        <v>808</v>
      </c>
    </row>
    <row r="459" spans="1:15" s="6" customFormat="1" ht="15.75" customHeight="1" x14ac:dyDescent="0.25">
      <c r="A459" s="13">
        <v>19</v>
      </c>
      <c r="B459" s="86" t="s">
        <v>576</v>
      </c>
      <c r="C459" s="13">
        <v>123</v>
      </c>
      <c r="D459" s="13">
        <v>2</v>
      </c>
      <c r="E459" s="13"/>
      <c r="F459" s="13"/>
      <c r="G459" s="9"/>
      <c r="H459" s="15"/>
      <c r="I459" s="89"/>
      <c r="J459" s="91"/>
      <c r="K459" s="89">
        <f>SUM(K460:K503)</f>
        <v>1704197341.5</v>
      </c>
      <c r="L459" s="9"/>
      <c r="N459" s="7"/>
      <c r="O459" s="7"/>
    </row>
    <row r="460" spans="1:15" s="139" customFormat="1" ht="15.75" customHeight="1" x14ac:dyDescent="0.25">
      <c r="A460" s="134"/>
      <c r="B460" s="134" t="s">
        <v>9</v>
      </c>
      <c r="C460" s="133"/>
      <c r="D460" s="133"/>
      <c r="E460" s="133"/>
      <c r="F460" s="134"/>
      <c r="G460" s="133"/>
      <c r="H460" s="135">
        <v>90.8</v>
      </c>
      <c r="I460" s="136">
        <v>7000000</v>
      </c>
      <c r="J460" s="137">
        <v>1</v>
      </c>
      <c r="K460" s="136">
        <f>H460*I460</f>
        <v>635600000</v>
      </c>
      <c r="L460" s="138"/>
      <c r="M460" s="6"/>
      <c r="N460" s="8">
        <f>+I460</f>
        <v>7000000</v>
      </c>
      <c r="O460" s="7"/>
    </row>
    <row r="461" spans="1:15" s="6" customFormat="1" ht="126" customHeight="1" x14ac:dyDescent="0.25">
      <c r="A461" s="9"/>
      <c r="B461" s="10" t="s">
        <v>352</v>
      </c>
      <c r="C461" s="9"/>
      <c r="D461" s="9"/>
      <c r="E461" s="9"/>
      <c r="F461" s="9"/>
      <c r="G461" s="9"/>
      <c r="H461" s="11"/>
      <c r="I461" s="12"/>
      <c r="J461" s="85">
        <v>1</v>
      </c>
      <c r="K461" s="12"/>
      <c r="L461" s="9"/>
      <c r="N461" s="7"/>
      <c r="O461" s="7"/>
    </row>
    <row r="462" spans="1:15" s="6" customFormat="1" ht="15.75" customHeight="1" x14ac:dyDescent="0.25">
      <c r="A462" s="9"/>
      <c r="B462" s="101" t="s">
        <v>461</v>
      </c>
      <c r="C462" s="9"/>
      <c r="D462" s="9"/>
      <c r="E462" s="9" t="s">
        <v>10</v>
      </c>
      <c r="F462" s="9"/>
      <c r="G462" s="9" t="s">
        <v>575</v>
      </c>
      <c r="H462" s="11">
        <f>11.5*7.1</f>
        <v>81.649999999999991</v>
      </c>
      <c r="I462" s="12">
        <f>5329000+192000</f>
        <v>5521000</v>
      </c>
      <c r="J462" s="85">
        <v>1</v>
      </c>
      <c r="K462" s="12">
        <f>I462*H462</f>
        <v>450789649.99999994</v>
      </c>
      <c r="L462" s="9"/>
      <c r="N462" s="8">
        <f>+I462</f>
        <v>5521000</v>
      </c>
      <c r="O462" s="7"/>
    </row>
    <row r="463" spans="1:15" s="6" customFormat="1" ht="15.75" customHeight="1" x14ac:dyDescent="0.25">
      <c r="A463" s="9"/>
      <c r="B463" s="101" t="s">
        <v>574</v>
      </c>
      <c r="C463" s="9"/>
      <c r="D463" s="9"/>
      <c r="E463" s="9" t="s">
        <v>10</v>
      </c>
      <c r="F463" s="9"/>
      <c r="G463" s="9" t="s">
        <v>583</v>
      </c>
      <c r="H463" s="24">
        <f>7.8*7.1+2.4*2</f>
        <v>60.179999999999993</v>
      </c>
      <c r="I463" s="12">
        <f>5329000+192000</f>
        <v>5521000</v>
      </c>
      <c r="J463" s="85">
        <v>1</v>
      </c>
      <c r="K463" s="12">
        <f>I463*H463</f>
        <v>332253779.99999994</v>
      </c>
      <c r="L463" s="9"/>
      <c r="N463" s="8">
        <f>+I463</f>
        <v>5521000</v>
      </c>
      <c r="O463" s="7"/>
    </row>
    <row r="464" spans="1:15" s="6" customFormat="1" ht="31.5" customHeight="1" x14ac:dyDescent="0.25">
      <c r="A464" s="17"/>
      <c r="B464" s="87" t="s">
        <v>323</v>
      </c>
      <c r="C464" s="9"/>
      <c r="D464" s="9"/>
      <c r="E464" s="9" t="s">
        <v>10</v>
      </c>
      <c r="F464" s="9"/>
      <c r="G464" s="9" t="s">
        <v>582</v>
      </c>
      <c r="H464" s="22">
        <f>9.2*5.5+7.4*6.5</f>
        <v>98.699999999999989</v>
      </c>
      <c r="I464" s="12">
        <v>198000</v>
      </c>
      <c r="J464" s="85">
        <v>1</v>
      </c>
      <c r="K464" s="12">
        <f>H464*I464</f>
        <v>19542599.999999996</v>
      </c>
      <c r="L464" s="9"/>
      <c r="N464" s="8">
        <f t="shared" ref="N464:N473" si="77">+I464</f>
        <v>198000</v>
      </c>
      <c r="O464" s="7"/>
    </row>
    <row r="465" spans="1:15" s="6" customFormat="1" ht="15.75" customHeight="1" x14ac:dyDescent="0.25">
      <c r="A465" s="17"/>
      <c r="B465" s="87" t="s">
        <v>332</v>
      </c>
      <c r="C465" s="9"/>
      <c r="D465" s="9"/>
      <c r="E465" s="9" t="s">
        <v>10</v>
      </c>
      <c r="F465" s="9"/>
      <c r="G465" s="9" t="s">
        <v>582</v>
      </c>
      <c r="H465" s="22">
        <f>-(9.2*5.5+7.4*6.5)</f>
        <v>-98.699999999999989</v>
      </c>
      <c r="I465" s="12">
        <v>144000</v>
      </c>
      <c r="J465" s="85">
        <v>1</v>
      </c>
      <c r="K465" s="12">
        <f>H465*I465</f>
        <v>-14212799.999999998</v>
      </c>
      <c r="L465" s="9"/>
      <c r="N465" s="8">
        <f t="shared" si="77"/>
        <v>144000</v>
      </c>
      <c r="O465" s="7"/>
    </row>
    <row r="466" spans="1:15" s="6" customFormat="1" ht="47.25" customHeight="1" x14ac:dyDescent="0.25">
      <c r="A466" s="9"/>
      <c r="B466" s="20" t="s">
        <v>584</v>
      </c>
      <c r="C466" s="9"/>
      <c r="D466" s="9"/>
      <c r="E466" s="9" t="s">
        <v>10</v>
      </c>
      <c r="F466" s="9"/>
      <c r="G466" s="9" t="s">
        <v>573</v>
      </c>
      <c r="H466" s="11">
        <f>5*7.1</f>
        <v>35.5</v>
      </c>
      <c r="I466" s="12">
        <f>(2901000-38000)*80%</f>
        <v>2290400</v>
      </c>
      <c r="J466" s="85">
        <v>1</v>
      </c>
      <c r="K466" s="12">
        <f>I466*H466</f>
        <v>81309200</v>
      </c>
      <c r="L466" s="9"/>
      <c r="N466" s="8">
        <f t="shared" si="77"/>
        <v>2290400</v>
      </c>
      <c r="O466" s="7"/>
    </row>
    <row r="467" spans="1:15" s="6" customFormat="1" ht="31.5" customHeight="1" x14ac:dyDescent="0.25">
      <c r="A467" s="17"/>
      <c r="B467" s="87" t="s">
        <v>238</v>
      </c>
      <c r="C467" s="9"/>
      <c r="D467" s="9"/>
      <c r="E467" s="9" t="s">
        <v>10</v>
      </c>
      <c r="F467" s="9"/>
      <c r="G467" s="9" t="s">
        <v>572</v>
      </c>
      <c r="H467" s="88">
        <f>4.5*6.7</f>
        <v>30.150000000000002</v>
      </c>
      <c r="I467" s="12">
        <v>162000</v>
      </c>
      <c r="J467" s="85">
        <v>1</v>
      </c>
      <c r="K467" s="12">
        <f>H467*I467</f>
        <v>4884300</v>
      </c>
      <c r="L467" s="9"/>
      <c r="N467" s="8">
        <f t="shared" si="77"/>
        <v>162000</v>
      </c>
      <c r="O467" s="7"/>
    </row>
    <row r="468" spans="1:15" s="6" customFormat="1" ht="15.75" customHeight="1" x14ac:dyDescent="0.25">
      <c r="A468" s="17"/>
      <c r="B468" s="87" t="s">
        <v>45</v>
      </c>
      <c r="C468" s="9"/>
      <c r="D468" s="9"/>
      <c r="E468" s="9" t="s">
        <v>10</v>
      </c>
      <c r="F468" s="9"/>
      <c r="G468" s="9" t="s">
        <v>572</v>
      </c>
      <c r="H468" s="88">
        <f>-4.5*6.7</f>
        <v>-30.150000000000002</v>
      </c>
      <c r="I468" s="12">
        <v>102000</v>
      </c>
      <c r="J468" s="85">
        <v>1</v>
      </c>
      <c r="K468" s="12">
        <f>H468*I468</f>
        <v>-3075300</v>
      </c>
      <c r="L468" s="9"/>
      <c r="N468" s="8">
        <f t="shared" si="77"/>
        <v>102000</v>
      </c>
      <c r="O468" s="7"/>
    </row>
    <row r="469" spans="1:15" s="6" customFormat="1" ht="31.5" customHeight="1" x14ac:dyDescent="0.25">
      <c r="A469" s="17"/>
      <c r="B469" s="87" t="s">
        <v>571</v>
      </c>
      <c r="C469" s="9"/>
      <c r="D469" s="9"/>
      <c r="E469" s="9" t="s">
        <v>10</v>
      </c>
      <c r="F469" s="9"/>
      <c r="G469" s="9" t="s">
        <v>570</v>
      </c>
      <c r="H469" s="88">
        <f>-7.1*3.6</f>
        <v>-25.56</v>
      </c>
      <c r="I469" s="12">
        <v>425000</v>
      </c>
      <c r="J469" s="85">
        <v>1</v>
      </c>
      <c r="K469" s="12">
        <f>H469*I469</f>
        <v>-10863000</v>
      </c>
      <c r="L469" s="9"/>
      <c r="N469" s="8">
        <f t="shared" si="77"/>
        <v>425000</v>
      </c>
      <c r="O469" s="7"/>
    </row>
    <row r="470" spans="1:15" s="6" customFormat="1" ht="15.75" customHeight="1" x14ac:dyDescent="0.25">
      <c r="A470" s="9"/>
      <c r="B470" s="20" t="s">
        <v>569</v>
      </c>
      <c r="C470" s="9"/>
      <c r="D470" s="9"/>
      <c r="E470" s="9" t="s">
        <v>15</v>
      </c>
      <c r="F470" s="9" t="s">
        <v>338</v>
      </c>
      <c r="G470" s="9" t="s">
        <v>568</v>
      </c>
      <c r="H470" s="11">
        <f>1.4*2.5*0.16</f>
        <v>0.56000000000000005</v>
      </c>
      <c r="I470" s="102">
        <v>3462000</v>
      </c>
      <c r="J470" s="85">
        <v>1</v>
      </c>
      <c r="K470" s="12">
        <f t="shared" ref="K470:K481" si="78">I470*H470</f>
        <v>1938720.0000000002</v>
      </c>
      <c r="L470" s="9"/>
      <c r="N470" s="8">
        <f t="shared" si="77"/>
        <v>3462000</v>
      </c>
      <c r="O470" s="7" t="s">
        <v>804</v>
      </c>
    </row>
    <row r="471" spans="1:15" s="6" customFormat="1" ht="15.75" customHeight="1" x14ac:dyDescent="0.25">
      <c r="A471" s="9"/>
      <c r="B471" s="17" t="s">
        <v>567</v>
      </c>
      <c r="C471" s="9"/>
      <c r="D471" s="9"/>
      <c r="E471" s="9" t="s">
        <v>10</v>
      </c>
      <c r="F471" s="9"/>
      <c r="G471" s="9" t="s">
        <v>566</v>
      </c>
      <c r="H471" s="11">
        <f>1.4*2.5</f>
        <v>3.5</v>
      </c>
      <c r="I471" s="12">
        <v>162000</v>
      </c>
      <c r="J471" s="85">
        <v>1</v>
      </c>
      <c r="K471" s="12">
        <f t="shared" si="78"/>
        <v>567000</v>
      </c>
      <c r="L471" s="9"/>
      <c r="N471" s="8">
        <f t="shared" si="77"/>
        <v>162000</v>
      </c>
      <c r="O471" s="7"/>
    </row>
    <row r="472" spans="1:15" s="6" customFormat="1" ht="15.75" customHeight="1" x14ac:dyDescent="0.25">
      <c r="A472" s="9"/>
      <c r="B472" s="17" t="s">
        <v>13</v>
      </c>
      <c r="C472" s="9"/>
      <c r="D472" s="9"/>
      <c r="E472" s="9"/>
      <c r="F472" s="9"/>
      <c r="G472" s="9"/>
      <c r="H472" s="11">
        <v>2</v>
      </c>
      <c r="I472" s="12">
        <v>350000</v>
      </c>
      <c r="J472" s="85">
        <v>1</v>
      </c>
      <c r="K472" s="12">
        <f t="shared" si="78"/>
        <v>700000</v>
      </c>
      <c r="L472" s="9"/>
      <c r="N472" s="8">
        <f t="shared" si="77"/>
        <v>350000</v>
      </c>
      <c r="O472" s="7"/>
    </row>
    <row r="473" spans="1:15" s="6" customFormat="1" ht="15.75" customHeight="1" x14ac:dyDescent="0.25">
      <c r="A473" s="9"/>
      <c r="B473" s="17" t="s">
        <v>452</v>
      </c>
      <c r="C473" s="9"/>
      <c r="D473" s="9"/>
      <c r="E473" s="9"/>
      <c r="F473" s="9"/>
      <c r="G473" s="9"/>
      <c r="H473" s="11">
        <v>2</v>
      </c>
      <c r="I473" s="12">
        <v>143000</v>
      </c>
      <c r="J473" s="85">
        <v>1</v>
      </c>
      <c r="K473" s="12">
        <f t="shared" si="78"/>
        <v>286000</v>
      </c>
      <c r="L473" s="9"/>
      <c r="N473" s="8">
        <f t="shared" si="77"/>
        <v>143000</v>
      </c>
      <c r="O473" s="7"/>
    </row>
    <row r="474" spans="1:15" s="6" customFormat="1" ht="15.75" customHeight="1" x14ac:dyDescent="0.25">
      <c r="A474" s="9"/>
      <c r="B474" s="17" t="s">
        <v>565</v>
      </c>
      <c r="C474" s="9"/>
      <c r="D474" s="9"/>
      <c r="E474" s="9"/>
      <c r="F474" s="9"/>
      <c r="G474" s="9"/>
      <c r="H474" s="11">
        <v>2</v>
      </c>
      <c r="I474" s="12">
        <v>450000</v>
      </c>
      <c r="J474" s="85">
        <v>1</v>
      </c>
      <c r="K474" s="12">
        <f t="shared" si="78"/>
        <v>900000</v>
      </c>
      <c r="L474" s="9"/>
      <c r="N474" s="19">
        <v>450000</v>
      </c>
      <c r="O474" s="7"/>
    </row>
    <row r="475" spans="1:15" s="6" customFormat="1" ht="15.75" customHeight="1" x14ac:dyDescent="0.25">
      <c r="A475" s="9"/>
      <c r="B475" s="20" t="s">
        <v>585</v>
      </c>
      <c r="C475" s="9"/>
      <c r="D475" s="9"/>
      <c r="E475" s="9" t="s">
        <v>10</v>
      </c>
      <c r="F475" s="9"/>
      <c r="G475" s="9" t="s">
        <v>564</v>
      </c>
      <c r="H475" s="11">
        <f>8.8*7.1</f>
        <v>62.480000000000004</v>
      </c>
      <c r="I475" s="12">
        <v>347000</v>
      </c>
      <c r="J475" s="85">
        <v>1</v>
      </c>
      <c r="K475" s="12">
        <f t="shared" si="78"/>
        <v>21680560</v>
      </c>
      <c r="L475" s="9"/>
      <c r="N475" s="8">
        <f>+I475</f>
        <v>347000</v>
      </c>
      <c r="O475" s="7"/>
    </row>
    <row r="476" spans="1:15" s="6" customFormat="1" ht="15.75" customHeight="1" x14ac:dyDescent="0.25">
      <c r="A476" s="9"/>
      <c r="B476" s="20" t="s">
        <v>563</v>
      </c>
      <c r="C476" s="9"/>
      <c r="D476" s="9"/>
      <c r="E476" s="9" t="s">
        <v>15</v>
      </c>
      <c r="F476" s="9" t="s">
        <v>338</v>
      </c>
      <c r="G476" s="9" t="s">
        <v>562</v>
      </c>
      <c r="H476" s="11">
        <f>2.7*1.4*0.1</f>
        <v>0.378</v>
      </c>
      <c r="I476" s="102">
        <v>3462000</v>
      </c>
      <c r="J476" s="85">
        <v>1</v>
      </c>
      <c r="K476" s="12">
        <f t="shared" si="78"/>
        <v>1308636</v>
      </c>
      <c r="L476" s="9"/>
      <c r="N476" s="8">
        <f>+I476</f>
        <v>3462000</v>
      </c>
      <c r="O476" s="7" t="s">
        <v>804</v>
      </c>
    </row>
    <row r="477" spans="1:15" s="6" customFormat="1" ht="31.5" customHeight="1" x14ac:dyDescent="0.25">
      <c r="A477" s="9"/>
      <c r="B477" s="20" t="s">
        <v>561</v>
      </c>
      <c r="C477" s="9"/>
      <c r="D477" s="9"/>
      <c r="E477" s="9"/>
      <c r="F477" s="9"/>
      <c r="G477" s="9" t="s">
        <v>560</v>
      </c>
      <c r="H477" s="11">
        <f>1.3*7.7</f>
        <v>10.01</v>
      </c>
      <c r="I477" s="12">
        <f>1313000-38000</f>
        <v>1275000</v>
      </c>
      <c r="J477" s="85">
        <v>1</v>
      </c>
      <c r="K477" s="12">
        <f t="shared" si="78"/>
        <v>12762750</v>
      </c>
      <c r="L477" s="9"/>
      <c r="N477" s="8">
        <f t="shared" ref="N477:N482" si="79">+I477</f>
        <v>1275000</v>
      </c>
      <c r="O477" s="7"/>
    </row>
    <row r="478" spans="1:15" s="6" customFormat="1" ht="15.75" customHeight="1" x14ac:dyDescent="0.25">
      <c r="A478" s="9"/>
      <c r="B478" s="20" t="s">
        <v>559</v>
      </c>
      <c r="C478" s="9"/>
      <c r="D478" s="9"/>
      <c r="E478" s="9"/>
      <c r="F478" s="9" t="s">
        <v>43</v>
      </c>
      <c r="G478" s="9" t="s">
        <v>558</v>
      </c>
      <c r="H478" s="11">
        <f>7.1*2.4*0.1</f>
        <v>1.704</v>
      </c>
      <c r="I478" s="12">
        <v>912000</v>
      </c>
      <c r="J478" s="85">
        <v>1</v>
      </c>
      <c r="K478" s="12">
        <f t="shared" si="78"/>
        <v>1554048</v>
      </c>
      <c r="L478" s="9"/>
      <c r="N478" s="8">
        <f t="shared" si="79"/>
        <v>912000</v>
      </c>
      <c r="O478" s="7" t="s">
        <v>804</v>
      </c>
    </row>
    <row r="479" spans="1:15" s="6" customFormat="1" ht="15.75" customHeight="1" x14ac:dyDescent="0.25">
      <c r="A479" s="9"/>
      <c r="B479" s="17" t="s">
        <v>817</v>
      </c>
      <c r="C479" s="9"/>
      <c r="D479" s="9"/>
      <c r="E479" s="121" t="s">
        <v>14</v>
      </c>
      <c r="F479" s="121" t="s">
        <v>557</v>
      </c>
      <c r="G479" s="9" t="s">
        <v>46</v>
      </c>
      <c r="H479" s="11">
        <v>50</v>
      </c>
      <c r="I479" s="12">
        <v>136000</v>
      </c>
      <c r="J479" s="85">
        <v>1</v>
      </c>
      <c r="K479" s="12">
        <f t="shared" si="78"/>
        <v>6800000</v>
      </c>
      <c r="L479" s="9"/>
      <c r="N479" s="8">
        <f t="shared" si="79"/>
        <v>136000</v>
      </c>
      <c r="O479" s="7"/>
    </row>
    <row r="480" spans="1:15" s="6" customFormat="1" ht="15.75" customHeight="1" x14ac:dyDescent="0.25">
      <c r="A480" s="9"/>
      <c r="B480" s="17" t="s">
        <v>64</v>
      </c>
      <c r="C480" s="9"/>
      <c r="D480" s="9"/>
      <c r="E480" s="121"/>
      <c r="F480" s="121"/>
      <c r="G480" s="9"/>
      <c r="H480" s="11">
        <v>20</v>
      </c>
      <c r="I480" s="12">
        <v>245000</v>
      </c>
      <c r="J480" s="85">
        <v>1</v>
      </c>
      <c r="K480" s="12">
        <f t="shared" si="78"/>
        <v>4900000</v>
      </c>
      <c r="L480" s="9"/>
      <c r="N480" s="8">
        <f t="shared" si="79"/>
        <v>245000</v>
      </c>
      <c r="O480" s="7"/>
    </row>
    <row r="481" spans="1:15" s="6" customFormat="1" ht="15.75" customHeight="1" x14ac:dyDescent="0.25">
      <c r="A481" s="9"/>
      <c r="B481" s="21" t="s">
        <v>810</v>
      </c>
      <c r="C481" s="9"/>
      <c r="D481" s="9"/>
      <c r="E481" s="9" t="s">
        <v>10</v>
      </c>
      <c r="F481" s="9"/>
      <c r="G481" s="9" t="s">
        <v>556</v>
      </c>
      <c r="H481" s="11">
        <f>+(1.9+0.5+3.1+5+9)*0.9</f>
        <v>17.55</v>
      </c>
      <c r="I481" s="12">
        <v>331000</v>
      </c>
      <c r="J481" s="85">
        <v>1</v>
      </c>
      <c r="K481" s="12">
        <f t="shared" si="78"/>
        <v>5809050</v>
      </c>
      <c r="L481" s="9"/>
      <c r="N481" s="8">
        <f t="shared" si="79"/>
        <v>331000</v>
      </c>
      <c r="O481" s="7"/>
    </row>
    <row r="482" spans="1:15" s="6" customFormat="1" ht="15.75" customHeight="1" x14ac:dyDescent="0.25">
      <c r="A482" s="9"/>
      <c r="B482" s="17" t="s">
        <v>555</v>
      </c>
      <c r="C482" s="9"/>
      <c r="D482" s="9"/>
      <c r="E482" s="9" t="s">
        <v>10</v>
      </c>
      <c r="F482" s="9"/>
      <c r="G482" s="9" t="s">
        <v>554</v>
      </c>
      <c r="H482" s="11">
        <f>3.3*2.72</f>
        <v>8.9760000000000009</v>
      </c>
      <c r="I482" s="12">
        <v>105000</v>
      </c>
      <c r="J482" s="85">
        <v>1</v>
      </c>
      <c r="K482" s="12">
        <f>+I482*H482</f>
        <v>942480.00000000012</v>
      </c>
      <c r="L482" s="9"/>
      <c r="N482" s="8">
        <f t="shared" si="79"/>
        <v>105000</v>
      </c>
      <c r="O482" s="7"/>
    </row>
    <row r="483" spans="1:15" s="6" customFormat="1" ht="15.75" customHeight="1" x14ac:dyDescent="0.25">
      <c r="A483" s="9"/>
      <c r="B483" s="20" t="s">
        <v>553</v>
      </c>
      <c r="C483" s="9"/>
      <c r="D483" s="9"/>
      <c r="E483" s="9" t="s">
        <v>10</v>
      </c>
      <c r="F483" s="9"/>
      <c r="G483" s="9" t="s">
        <v>552</v>
      </c>
      <c r="H483" s="11">
        <f>(5.5+1)*3</f>
        <v>19.5</v>
      </c>
      <c r="I483" s="12">
        <v>459000</v>
      </c>
      <c r="J483" s="85">
        <v>1</v>
      </c>
      <c r="K483" s="12">
        <f>I483*H483</f>
        <v>8950500</v>
      </c>
      <c r="L483" s="9"/>
      <c r="N483" s="8">
        <f t="shared" ref="N483:N484" si="80">+I483</f>
        <v>459000</v>
      </c>
      <c r="O483" s="7"/>
    </row>
    <row r="484" spans="1:15" s="6" customFormat="1" ht="15.75" customHeight="1" x14ac:dyDescent="0.25">
      <c r="A484" s="9"/>
      <c r="B484" s="17" t="s">
        <v>30</v>
      </c>
      <c r="C484" s="9"/>
      <c r="D484" s="9"/>
      <c r="E484" s="9" t="s">
        <v>10</v>
      </c>
      <c r="F484" s="9"/>
      <c r="G484" s="9" t="s">
        <v>551</v>
      </c>
      <c r="H484" s="11">
        <f>1.6*2.2</f>
        <v>3.5200000000000005</v>
      </c>
      <c r="I484" s="12">
        <v>459000</v>
      </c>
      <c r="J484" s="85">
        <v>1</v>
      </c>
      <c r="K484" s="12">
        <f>I484*H484</f>
        <v>1615680.0000000002</v>
      </c>
      <c r="L484" s="9"/>
      <c r="N484" s="8">
        <f t="shared" si="80"/>
        <v>459000</v>
      </c>
      <c r="O484" s="7"/>
    </row>
    <row r="485" spans="1:15" s="6" customFormat="1" ht="15.75" customHeight="1" x14ac:dyDescent="0.25">
      <c r="A485" s="9"/>
      <c r="B485" s="17" t="s">
        <v>333</v>
      </c>
      <c r="C485" s="9"/>
      <c r="D485" s="9"/>
      <c r="E485" s="9" t="s">
        <v>10</v>
      </c>
      <c r="F485" s="9"/>
      <c r="G485" s="9" t="s">
        <v>550</v>
      </c>
      <c r="H485" s="11">
        <f>5.35*2.9</f>
        <v>15.514999999999999</v>
      </c>
      <c r="I485" s="103">
        <v>255000</v>
      </c>
      <c r="J485" s="85">
        <v>1</v>
      </c>
      <c r="K485" s="12">
        <f>I485*H485</f>
        <v>3956324.9999999995</v>
      </c>
      <c r="L485" s="9"/>
      <c r="N485" s="8">
        <f t="shared" ref="N485:N490" si="81">+I485</f>
        <v>255000</v>
      </c>
      <c r="O485" s="7"/>
    </row>
    <row r="486" spans="1:15" s="6" customFormat="1" ht="15.75" customHeight="1" x14ac:dyDescent="0.25">
      <c r="A486" s="9"/>
      <c r="B486" s="17" t="s">
        <v>581</v>
      </c>
      <c r="C486" s="9"/>
      <c r="D486" s="9"/>
      <c r="E486" s="9" t="s">
        <v>10</v>
      </c>
      <c r="F486" s="9"/>
      <c r="G486" s="9" t="s">
        <v>580</v>
      </c>
      <c r="H486" s="24">
        <f>1.6*1.1*4</f>
        <v>7.0400000000000009</v>
      </c>
      <c r="I486" s="12">
        <v>145000</v>
      </c>
      <c r="J486" s="85">
        <v>1</v>
      </c>
      <c r="K486" s="12">
        <f>I486*H486</f>
        <v>1020800.0000000001</v>
      </c>
      <c r="L486" s="9"/>
      <c r="N486" s="8">
        <f t="shared" si="81"/>
        <v>145000</v>
      </c>
      <c r="O486" s="7"/>
    </row>
    <row r="487" spans="1:15" s="6" customFormat="1" ht="31.5" customHeight="1" x14ac:dyDescent="0.25">
      <c r="A487" s="9"/>
      <c r="B487" s="17" t="s">
        <v>549</v>
      </c>
      <c r="C487" s="9"/>
      <c r="D487" s="9"/>
      <c r="E487" s="9" t="s">
        <v>10</v>
      </c>
      <c r="F487" s="9"/>
      <c r="G487" s="21" t="s">
        <v>548</v>
      </c>
      <c r="H487" s="11">
        <f>2.4*0.8*3+1.4*1.1*3+1.1*2.4+0.8*2.4*2+0.84*2.4</f>
        <v>18.875999999999998</v>
      </c>
      <c r="I487" s="12">
        <v>145000</v>
      </c>
      <c r="J487" s="85">
        <v>1</v>
      </c>
      <c r="K487" s="12">
        <f>I487*H487</f>
        <v>2737019.9999999995</v>
      </c>
      <c r="L487" s="9"/>
      <c r="N487" s="8">
        <f t="shared" si="81"/>
        <v>145000</v>
      </c>
      <c r="O487" s="7"/>
    </row>
    <row r="488" spans="1:15" s="191" customFormat="1" ht="15.75" customHeight="1" x14ac:dyDescent="0.25">
      <c r="A488" s="195"/>
      <c r="B488" s="186" t="s">
        <v>803</v>
      </c>
      <c r="C488" s="185"/>
      <c r="D488" s="185"/>
      <c r="E488" s="185" t="s">
        <v>47</v>
      </c>
      <c r="F488" s="185"/>
      <c r="G488" s="185"/>
      <c r="H488" s="187">
        <v>6</v>
      </c>
      <c r="I488" s="188">
        <v>2000000</v>
      </c>
      <c r="J488" s="189">
        <v>1</v>
      </c>
      <c r="K488" s="188">
        <f>H488*I488</f>
        <v>12000000</v>
      </c>
      <c r="L488" s="185"/>
      <c r="N488" s="192">
        <f t="shared" si="81"/>
        <v>2000000</v>
      </c>
      <c r="O488" s="193"/>
    </row>
    <row r="489" spans="1:15" s="191" customFormat="1" ht="15.75" customHeight="1" x14ac:dyDescent="0.25">
      <c r="A489" s="195"/>
      <c r="B489" s="186" t="s">
        <v>48</v>
      </c>
      <c r="C489" s="185"/>
      <c r="D489" s="185"/>
      <c r="E489" s="185" t="s">
        <v>49</v>
      </c>
      <c r="F489" s="185"/>
      <c r="G489" s="185"/>
      <c r="H489" s="187">
        <v>1</v>
      </c>
      <c r="I489" s="188">
        <v>5000000</v>
      </c>
      <c r="J489" s="189">
        <v>1</v>
      </c>
      <c r="K489" s="188">
        <f>H489*I489</f>
        <v>5000000</v>
      </c>
      <c r="L489" s="185"/>
      <c r="M489" s="196"/>
      <c r="N489" s="192">
        <f t="shared" si="81"/>
        <v>5000000</v>
      </c>
      <c r="O489" s="193"/>
    </row>
    <row r="490" spans="1:15" s="6" customFormat="1" ht="47.25" customHeight="1" x14ac:dyDescent="0.25">
      <c r="A490" s="9"/>
      <c r="B490" s="20" t="s">
        <v>547</v>
      </c>
      <c r="C490" s="9"/>
      <c r="D490" s="9"/>
      <c r="E490" s="9"/>
      <c r="F490" s="9"/>
      <c r="G490" s="9" t="s">
        <v>546</v>
      </c>
      <c r="H490" s="11">
        <f>7.1*1.4</f>
        <v>9.94</v>
      </c>
      <c r="I490" s="12">
        <f>2510000-38000-3000*5</f>
        <v>2457000</v>
      </c>
      <c r="J490" s="85">
        <v>1</v>
      </c>
      <c r="K490" s="12">
        <f>I490*H490</f>
        <v>24422580</v>
      </c>
      <c r="L490" s="9"/>
      <c r="N490" s="8">
        <f t="shared" si="81"/>
        <v>2457000</v>
      </c>
      <c r="O490" s="7"/>
    </row>
    <row r="491" spans="1:15" s="6" customFormat="1" ht="31.5" customHeight="1" x14ac:dyDescent="0.25">
      <c r="A491" s="17"/>
      <c r="B491" s="20" t="s">
        <v>243</v>
      </c>
      <c r="C491" s="9"/>
      <c r="D491" s="9"/>
      <c r="E491" s="9" t="s">
        <v>14</v>
      </c>
      <c r="F491" s="9"/>
      <c r="G491" s="9"/>
      <c r="H491" s="11">
        <v>15</v>
      </c>
      <c r="I491" s="18">
        <v>46000</v>
      </c>
      <c r="J491" s="85">
        <v>1</v>
      </c>
      <c r="K491" s="18">
        <f t="shared" ref="K491:K500" si="82">H491*I491</f>
        <v>690000</v>
      </c>
      <c r="L491" s="9"/>
      <c r="N491" s="8">
        <f t="shared" ref="N491:N497" si="83">+I491</f>
        <v>46000</v>
      </c>
      <c r="O491" s="7"/>
    </row>
    <row r="492" spans="1:15" s="6" customFormat="1" ht="15.75" customHeight="1" x14ac:dyDescent="0.25">
      <c r="A492" s="9"/>
      <c r="B492" s="20" t="s">
        <v>545</v>
      </c>
      <c r="C492" s="9"/>
      <c r="D492" s="9"/>
      <c r="E492" s="9"/>
      <c r="F492" s="9"/>
      <c r="G492" s="9"/>
      <c r="H492" s="11">
        <v>30</v>
      </c>
      <c r="I492" s="18">
        <v>6000</v>
      </c>
      <c r="J492" s="85">
        <v>1</v>
      </c>
      <c r="K492" s="12">
        <f t="shared" si="82"/>
        <v>180000</v>
      </c>
      <c r="L492" s="9"/>
      <c r="N492" s="8">
        <f t="shared" si="83"/>
        <v>6000</v>
      </c>
      <c r="O492" s="7" t="s">
        <v>804</v>
      </c>
    </row>
    <row r="493" spans="1:15" s="6" customFormat="1" ht="15.75" customHeight="1" x14ac:dyDescent="0.25">
      <c r="A493" s="9"/>
      <c r="B493" s="20" t="s">
        <v>544</v>
      </c>
      <c r="C493" s="9"/>
      <c r="D493" s="9"/>
      <c r="E493" s="9" t="s">
        <v>15</v>
      </c>
      <c r="F493" s="9"/>
      <c r="G493" s="9" t="s">
        <v>543</v>
      </c>
      <c r="H493" s="22">
        <f>(11.5*3+7.1*6)*0.6*(2.5-1.2)</f>
        <v>60.137999999999998</v>
      </c>
      <c r="I493" s="12">
        <v>552000</v>
      </c>
      <c r="J493" s="85">
        <v>1</v>
      </c>
      <c r="K493" s="12">
        <f t="shared" si="82"/>
        <v>33196176</v>
      </c>
      <c r="L493" s="9"/>
      <c r="N493" s="8">
        <f t="shared" si="83"/>
        <v>552000</v>
      </c>
      <c r="O493" s="7"/>
    </row>
    <row r="494" spans="1:15" s="6" customFormat="1" x14ac:dyDescent="0.25">
      <c r="A494" s="17"/>
      <c r="B494" s="20" t="s">
        <v>219</v>
      </c>
      <c r="C494" s="9"/>
      <c r="D494" s="9"/>
      <c r="E494" s="9" t="s">
        <v>15</v>
      </c>
      <c r="F494" s="9"/>
      <c r="G494" s="9" t="s">
        <v>542</v>
      </c>
      <c r="H494" s="22">
        <f>(11.5*7.1-60.13)*1.3</f>
        <v>27.975999999999985</v>
      </c>
      <c r="I494" s="18">
        <v>127000</v>
      </c>
      <c r="J494" s="85">
        <v>1</v>
      </c>
      <c r="K494" s="18">
        <f t="shared" si="82"/>
        <v>3552951.9999999981</v>
      </c>
      <c r="L494" s="9"/>
      <c r="N494" s="8">
        <f t="shared" si="83"/>
        <v>127000</v>
      </c>
      <c r="O494" s="7" t="s">
        <v>808</v>
      </c>
    </row>
    <row r="495" spans="1:15" s="6" customFormat="1" ht="15.75" customHeight="1" x14ac:dyDescent="0.25">
      <c r="A495" s="17"/>
      <c r="B495" s="20" t="s">
        <v>393</v>
      </c>
      <c r="C495" s="9"/>
      <c r="D495" s="9"/>
      <c r="E495" s="9" t="s">
        <v>10</v>
      </c>
      <c r="F495" s="9"/>
      <c r="G495" s="9" t="s">
        <v>586</v>
      </c>
      <c r="H495" s="22">
        <f>1*0.45*21</f>
        <v>9.4500000000000011</v>
      </c>
      <c r="I495" s="18">
        <v>611000</v>
      </c>
      <c r="J495" s="85">
        <v>1</v>
      </c>
      <c r="K495" s="18">
        <f t="shared" si="82"/>
        <v>5773950.0000000009</v>
      </c>
      <c r="L495" s="9"/>
      <c r="N495" s="8">
        <f t="shared" si="83"/>
        <v>611000</v>
      </c>
      <c r="O495" s="7"/>
    </row>
    <row r="496" spans="1:15" s="6" customFormat="1" ht="15.75" customHeight="1" x14ac:dyDescent="0.25">
      <c r="A496" s="9"/>
      <c r="B496" s="20" t="s">
        <v>587</v>
      </c>
      <c r="C496" s="9"/>
      <c r="D496" s="9"/>
      <c r="E496" s="9" t="s">
        <v>10</v>
      </c>
      <c r="F496" s="9"/>
      <c r="G496" s="9" t="s">
        <v>541</v>
      </c>
      <c r="H496" s="24">
        <f>(13.5*2+7*2)*1.2</f>
        <v>49.199999999999996</v>
      </c>
      <c r="I496" s="12">
        <v>184000</v>
      </c>
      <c r="J496" s="85">
        <v>1</v>
      </c>
      <c r="K496" s="12">
        <f t="shared" si="82"/>
        <v>9052800</v>
      </c>
      <c r="L496" s="9"/>
      <c r="N496" s="8">
        <f t="shared" si="83"/>
        <v>184000</v>
      </c>
      <c r="O496" s="7"/>
    </row>
    <row r="497" spans="1:15" s="6" customFormat="1" ht="15.75" customHeight="1" x14ac:dyDescent="0.25">
      <c r="A497" s="9"/>
      <c r="B497" s="20" t="s">
        <v>150</v>
      </c>
      <c r="C497" s="9"/>
      <c r="D497" s="9"/>
      <c r="E497" s="9" t="s">
        <v>10</v>
      </c>
      <c r="F497" s="9"/>
      <c r="G497" s="9" t="s">
        <v>540</v>
      </c>
      <c r="H497" s="24">
        <f>3.5*2.2+2.1*2.7+2.5*1.6</f>
        <v>17.37</v>
      </c>
      <c r="I497" s="12">
        <v>162000</v>
      </c>
      <c r="J497" s="85">
        <v>1</v>
      </c>
      <c r="K497" s="12">
        <f t="shared" si="82"/>
        <v>2813940</v>
      </c>
      <c r="L497" s="9"/>
      <c r="N497" s="8">
        <f t="shared" si="83"/>
        <v>162000</v>
      </c>
      <c r="O497" s="7"/>
    </row>
    <row r="498" spans="1:15" s="6" customFormat="1" ht="15.75" customHeight="1" x14ac:dyDescent="0.25">
      <c r="A498" s="9"/>
      <c r="B498" s="20" t="s">
        <v>539</v>
      </c>
      <c r="C498" s="9"/>
      <c r="D498" s="9"/>
      <c r="E498" s="9" t="s">
        <v>15</v>
      </c>
      <c r="F498" s="9" t="s">
        <v>43</v>
      </c>
      <c r="G498" s="9" t="s">
        <v>538</v>
      </c>
      <c r="H498" s="24">
        <f>1.6*0.9*0.1</f>
        <v>0.14400000000000002</v>
      </c>
      <c r="I498" s="12">
        <v>3341000</v>
      </c>
      <c r="J498" s="85">
        <v>1</v>
      </c>
      <c r="K498" s="12">
        <f t="shared" si="82"/>
        <v>481104.00000000006</v>
      </c>
      <c r="L498" s="9"/>
      <c r="N498" s="8">
        <f t="shared" ref="N498:N503" si="84">+I498</f>
        <v>3341000</v>
      </c>
      <c r="O498" s="7" t="s">
        <v>804</v>
      </c>
    </row>
    <row r="499" spans="1:15" s="6" customFormat="1" ht="15.75" customHeight="1" x14ac:dyDescent="0.25">
      <c r="A499" s="9"/>
      <c r="B499" s="20" t="s">
        <v>537</v>
      </c>
      <c r="C499" s="9"/>
      <c r="D499" s="9"/>
      <c r="E499" s="9" t="s">
        <v>10</v>
      </c>
      <c r="F499" s="9"/>
      <c r="G499" s="9" t="s">
        <v>536</v>
      </c>
      <c r="H499" s="24">
        <f>1.6*0.8*3</f>
        <v>3.8400000000000007</v>
      </c>
      <c r="I499" s="12">
        <v>255000</v>
      </c>
      <c r="J499" s="85">
        <v>1</v>
      </c>
      <c r="K499" s="12">
        <f t="shared" si="82"/>
        <v>979200.00000000023</v>
      </c>
      <c r="L499" s="9"/>
      <c r="N499" s="8">
        <f t="shared" si="84"/>
        <v>255000</v>
      </c>
      <c r="O499" s="7"/>
    </row>
    <row r="500" spans="1:15" s="6" customFormat="1" ht="15.75" customHeight="1" x14ac:dyDescent="0.25">
      <c r="A500" s="9"/>
      <c r="B500" s="20" t="s">
        <v>535</v>
      </c>
      <c r="C500" s="9"/>
      <c r="D500" s="9"/>
      <c r="E500" s="9" t="s">
        <v>10</v>
      </c>
      <c r="F500" s="9"/>
      <c r="G500" s="9" t="s">
        <v>534</v>
      </c>
      <c r="H500" s="24">
        <f>3.5*3.5</f>
        <v>12.25</v>
      </c>
      <c r="I500" s="12">
        <v>385000</v>
      </c>
      <c r="J500" s="85">
        <v>1</v>
      </c>
      <c r="K500" s="12">
        <f t="shared" si="82"/>
        <v>4716250</v>
      </c>
      <c r="L500" s="9"/>
      <c r="N500" s="8">
        <f t="shared" si="84"/>
        <v>385000</v>
      </c>
      <c r="O500" s="7"/>
    </row>
    <row r="501" spans="1:15" s="6" customFormat="1" ht="15.75" customHeight="1" x14ac:dyDescent="0.25">
      <c r="A501" s="9"/>
      <c r="B501" s="17" t="s">
        <v>223</v>
      </c>
      <c r="C501" s="9"/>
      <c r="D501" s="9"/>
      <c r="E501" s="9" t="s">
        <v>15</v>
      </c>
      <c r="F501" s="9"/>
      <c r="G501" s="9" t="s">
        <v>577</v>
      </c>
      <c r="H501" s="22">
        <f>(7.1+7.1+1*2+5.5)*0.45*0.8</f>
        <v>7.8120000000000012</v>
      </c>
      <c r="I501" s="12">
        <v>552000</v>
      </c>
      <c r="J501" s="85">
        <v>1</v>
      </c>
      <c r="K501" s="12">
        <f>I501*H501</f>
        <v>4312224.0000000009</v>
      </c>
      <c r="L501" s="9"/>
      <c r="N501" s="8">
        <f t="shared" si="84"/>
        <v>552000</v>
      </c>
      <c r="O501" s="7"/>
    </row>
    <row r="502" spans="1:15" s="6" customFormat="1" ht="15.75" customHeight="1" x14ac:dyDescent="0.25">
      <c r="A502" s="9"/>
      <c r="B502" s="17" t="s">
        <v>578</v>
      </c>
      <c r="C502" s="9"/>
      <c r="D502" s="9"/>
      <c r="E502" s="9" t="s">
        <v>10</v>
      </c>
      <c r="F502" s="9"/>
      <c r="G502" s="9" t="s">
        <v>579</v>
      </c>
      <c r="H502" s="24">
        <f>1*5*2</f>
        <v>10</v>
      </c>
      <c r="I502" s="12">
        <v>255000</v>
      </c>
      <c r="J502" s="85">
        <v>1</v>
      </c>
      <c r="K502" s="12">
        <f>I502*H502</f>
        <v>2550000</v>
      </c>
      <c r="L502" s="9"/>
      <c r="N502" s="8">
        <f t="shared" si="84"/>
        <v>255000</v>
      </c>
      <c r="O502" s="7"/>
    </row>
    <row r="503" spans="1:15" s="6" customFormat="1" ht="33.75" customHeight="1" x14ac:dyDescent="0.25">
      <c r="A503" s="9"/>
      <c r="B503" s="17" t="s">
        <v>632</v>
      </c>
      <c r="C503" s="9"/>
      <c r="D503" s="9"/>
      <c r="E503" s="9" t="s">
        <v>15</v>
      </c>
      <c r="F503" s="9" t="s">
        <v>811</v>
      </c>
      <c r="G503" s="21" t="s">
        <v>633</v>
      </c>
      <c r="H503" s="22">
        <f>((1.2*1.2*0.25)+(0.7*0.7*0.2+0.25*0.25*0.9))*9</f>
        <v>4.6282499999999995</v>
      </c>
      <c r="I503" s="12">
        <v>4282000</v>
      </c>
      <c r="J503" s="85">
        <v>1</v>
      </c>
      <c r="K503" s="12">
        <f>H503*I503</f>
        <v>19818166.499999996</v>
      </c>
      <c r="L503" s="84"/>
      <c r="N503" s="8">
        <f t="shared" si="84"/>
        <v>4282000</v>
      </c>
      <c r="O503" s="7" t="s">
        <v>804</v>
      </c>
    </row>
    <row r="504" spans="1:15" s="6" customFormat="1" ht="15.75" customHeight="1" x14ac:dyDescent="0.25">
      <c r="A504" s="13">
        <v>20</v>
      </c>
      <c r="B504" s="14" t="s">
        <v>588</v>
      </c>
      <c r="C504" s="13">
        <v>67</v>
      </c>
      <c r="D504" s="13">
        <v>2</v>
      </c>
      <c r="E504" s="13"/>
      <c r="F504" s="13"/>
      <c r="G504" s="9"/>
      <c r="H504" s="15"/>
      <c r="I504" s="16"/>
      <c r="J504" s="39"/>
      <c r="K504" s="16">
        <f>SUM(K505:K549)</f>
        <v>1639232662.5</v>
      </c>
      <c r="L504" s="9"/>
      <c r="N504" s="7"/>
      <c r="O504" s="7"/>
    </row>
    <row r="505" spans="1:15" s="139" customFormat="1" ht="15.75" customHeight="1" x14ac:dyDescent="0.25">
      <c r="A505" s="134"/>
      <c r="B505" s="134" t="s">
        <v>9</v>
      </c>
      <c r="C505" s="133"/>
      <c r="D505" s="133"/>
      <c r="E505" s="133" t="s">
        <v>10</v>
      </c>
      <c r="F505" s="133"/>
      <c r="G505" s="133"/>
      <c r="H505" s="135">
        <v>82.3</v>
      </c>
      <c r="I505" s="136">
        <v>4200000</v>
      </c>
      <c r="J505" s="137">
        <v>1</v>
      </c>
      <c r="K505" s="136">
        <f>H505*I505</f>
        <v>345660000</v>
      </c>
      <c r="L505" s="133"/>
      <c r="M505" s="6"/>
      <c r="N505" s="8">
        <f>+I505</f>
        <v>4200000</v>
      </c>
      <c r="O505" s="7"/>
    </row>
    <row r="506" spans="1:15" s="6" customFormat="1" ht="63" customHeight="1" x14ac:dyDescent="0.25">
      <c r="A506" s="17"/>
      <c r="B506" s="20" t="s">
        <v>631</v>
      </c>
      <c r="C506" s="9"/>
      <c r="D506" s="9"/>
      <c r="E506" s="9"/>
      <c r="F506" s="9"/>
      <c r="G506" s="9"/>
      <c r="H506" s="11"/>
      <c r="I506" s="18"/>
      <c r="J506" s="85">
        <v>1</v>
      </c>
      <c r="K506" s="18"/>
      <c r="L506" s="9"/>
      <c r="N506" s="7"/>
      <c r="O506" s="7"/>
    </row>
    <row r="507" spans="1:15" s="6" customFormat="1" ht="15.75" customHeight="1" x14ac:dyDescent="0.25">
      <c r="A507" s="17"/>
      <c r="B507" s="101" t="s">
        <v>589</v>
      </c>
      <c r="C507" s="9"/>
      <c r="D507" s="9"/>
      <c r="E507" s="9" t="s">
        <v>10</v>
      </c>
      <c r="F507" s="9"/>
      <c r="G507" s="9" t="s">
        <v>590</v>
      </c>
      <c r="H507" s="11">
        <f>21*5.5</f>
        <v>115.5</v>
      </c>
      <c r="I507" s="18">
        <f>5329000+32000*3</f>
        <v>5425000</v>
      </c>
      <c r="J507" s="85">
        <v>1</v>
      </c>
      <c r="K507" s="18">
        <f>H507*I507</f>
        <v>626587500</v>
      </c>
      <c r="L507" s="9"/>
      <c r="N507" s="8">
        <f>+I507</f>
        <v>5425000</v>
      </c>
      <c r="O507" s="7"/>
    </row>
    <row r="508" spans="1:15" s="6" customFormat="1" ht="15.75" customHeight="1" x14ac:dyDescent="0.25">
      <c r="A508" s="17"/>
      <c r="B508" s="101" t="s">
        <v>591</v>
      </c>
      <c r="C508" s="9"/>
      <c r="D508" s="9"/>
      <c r="E508" s="9" t="s">
        <v>10</v>
      </c>
      <c r="F508" s="9"/>
      <c r="G508" s="9" t="s">
        <v>592</v>
      </c>
      <c r="H508" s="11">
        <f>12.7*5.5</f>
        <v>69.849999999999994</v>
      </c>
      <c r="I508" s="18">
        <f>5329000+32000</f>
        <v>5361000</v>
      </c>
      <c r="J508" s="85">
        <v>1</v>
      </c>
      <c r="K508" s="18">
        <f>H508*I508</f>
        <v>374465849.99999994</v>
      </c>
      <c r="L508" s="9"/>
      <c r="N508" s="8">
        <f>+I508</f>
        <v>5361000</v>
      </c>
      <c r="O508" s="7"/>
    </row>
    <row r="509" spans="1:15" s="6" customFormat="1" ht="31.5" customHeight="1" x14ac:dyDescent="0.25">
      <c r="A509" s="17"/>
      <c r="B509" s="87" t="s">
        <v>330</v>
      </c>
      <c r="C509" s="9"/>
      <c r="D509" s="9"/>
      <c r="E509" s="9" t="s">
        <v>10</v>
      </c>
      <c r="F509" s="9"/>
      <c r="G509" s="9" t="s">
        <v>593</v>
      </c>
      <c r="H509" s="88">
        <f>((5.1*18.1)+(5.1*10.5))</f>
        <v>145.86000000000001</v>
      </c>
      <c r="I509" s="12">
        <v>253000</v>
      </c>
      <c r="J509" s="85">
        <v>1</v>
      </c>
      <c r="K509" s="12">
        <f t="shared" ref="K509:K549" si="85">H509*I509</f>
        <v>36902580</v>
      </c>
      <c r="L509" s="9"/>
      <c r="N509" s="8">
        <f t="shared" ref="N509:N530" si="86">+I509</f>
        <v>253000</v>
      </c>
      <c r="O509" s="7"/>
    </row>
    <row r="510" spans="1:15" s="6" customFormat="1" ht="15.75" customHeight="1" x14ac:dyDescent="0.25">
      <c r="A510" s="17"/>
      <c r="B510" s="87" t="s">
        <v>332</v>
      </c>
      <c r="C510" s="9"/>
      <c r="D510" s="9"/>
      <c r="E510" s="9" t="s">
        <v>10</v>
      </c>
      <c r="F510" s="9"/>
      <c r="G510" s="9" t="s">
        <v>593</v>
      </c>
      <c r="H510" s="88">
        <f>-((5.1*18.1)+(5.1*10.5))</f>
        <v>-145.86000000000001</v>
      </c>
      <c r="I510" s="12">
        <v>144000</v>
      </c>
      <c r="J510" s="85">
        <v>1</v>
      </c>
      <c r="K510" s="12">
        <f t="shared" si="85"/>
        <v>-21003840.000000004</v>
      </c>
      <c r="L510" s="9"/>
      <c r="N510" s="8">
        <f t="shared" si="86"/>
        <v>144000</v>
      </c>
      <c r="O510" s="7"/>
    </row>
    <row r="511" spans="1:15" s="6" customFormat="1" ht="31.5" customHeight="1" x14ac:dyDescent="0.25">
      <c r="A511" s="17"/>
      <c r="B511" s="20" t="s">
        <v>594</v>
      </c>
      <c r="C511" s="9"/>
      <c r="D511" s="9"/>
      <c r="E511" s="9" t="s">
        <v>15</v>
      </c>
      <c r="F511" s="9" t="s">
        <v>338</v>
      </c>
      <c r="G511" s="9" t="s">
        <v>595</v>
      </c>
      <c r="H511" s="11">
        <f>(4*2+4*2+2.2*1.5+2.6*4+2.6*4)*0.15</f>
        <v>6.0149999999999997</v>
      </c>
      <c r="I511" s="18">
        <v>3462000</v>
      </c>
      <c r="J511" s="85">
        <v>1</v>
      </c>
      <c r="K511" s="12">
        <f t="shared" si="85"/>
        <v>20823930</v>
      </c>
      <c r="L511" s="9"/>
      <c r="N511" s="8">
        <f t="shared" si="86"/>
        <v>3462000</v>
      </c>
      <c r="O511" s="7" t="s">
        <v>804</v>
      </c>
    </row>
    <row r="512" spans="1:15" s="6" customFormat="1" ht="15.75" customHeight="1" x14ac:dyDescent="0.25">
      <c r="A512" s="17"/>
      <c r="B512" s="20" t="s">
        <v>596</v>
      </c>
      <c r="C512" s="9"/>
      <c r="D512" s="9"/>
      <c r="E512" s="9" t="s">
        <v>10</v>
      </c>
      <c r="F512" s="9"/>
      <c r="G512" s="9" t="s">
        <v>597</v>
      </c>
      <c r="H512" s="88">
        <f>4*2*2+2.2*1.5+2.6*4*2</f>
        <v>40.1</v>
      </c>
      <c r="I512" s="18">
        <v>385000</v>
      </c>
      <c r="J512" s="85">
        <v>1</v>
      </c>
      <c r="K512" s="12">
        <f t="shared" si="85"/>
        <v>15438500</v>
      </c>
      <c r="L512" s="9"/>
      <c r="N512" s="8">
        <f t="shared" si="86"/>
        <v>385000</v>
      </c>
      <c r="O512" s="7"/>
    </row>
    <row r="513" spans="1:15" s="6" customFormat="1" ht="15.75" customHeight="1" x14ac:dyDescent="0.25">
      <c r="A513" s="17"/>
      <c r="B513" s="17" t="s">
        <v>598</v>
      </c>
      <c r="C513" s="9"/>
      <c r="D513" s="9"/>
      <c r="E513" s="9" t="s">
        <v>15</v>
      </c>
      <c r="F513" s="9"/>
      <c r="G513" s="9" t="s">
        <v>599</v>
      </c>
      <c r="H513" s="11">
        <f>0.25*0.25*9*4</f>
        <v>2.25</v>
      </c>
      <c r="I513" s="18">
        <v>1145000</v>
      </c>
      <c r="J513" s="85">
        <v>1</v>
      </c>
      <c r="K513" s="18">
        <f t="shared" si="85"/>
        <v>2576250</v>
      </c>
      <c r="L513" s="9"/>
      <c r="N513" s="8">
        <f t="shared" si="86"/>
        <v>1145000</v>
      </c>
      <c r="O513" s="7"/>
    </row>
    <row r="514" spans="1:15" s="6" customFormat="1" ht="15.75" customHeight="1" x14ac:dyDescent="0.25">
      <c r="A514" s="17"/>
      <c r="B514" s="20" t="s">
        <v>333</v>
      </c>
      <c r="C514" s="9"/>
      <c r="D514" s="9"/>
      <c r="E514" s="9" t="s">
        <v>10</v>
      </c>
      <c r="F514" s="9"/>
      <c r="G514" s="9" t="s">
        <v>600</v>
      </c>
      <c r="H514" s="11">
        <f>(5.3+7.5*2)*1.1</f>
        <v>22.330000000000002</v>
      </c>
      <c r="I514" s="18">
        <v>255000</v>
      </c>
      <c r="J514" s="85">
        <v>1</v>
      </c>
      <c r="K514" s="18">
        <f t="shared" si="85"/>
        <v>5694150.0000000009</v>
      </c>
      <c r="L514" s="9"/>
      <c r="N514" s="8">
        <f t="shared" si="86"/>
        <v>255000</v>
      </c>
      <c r="O514" s="7"/>
    </row>
    <row r="515" spans="1:15" s="6" customFormat="1" ht="15.75" customHeight="1" x14ac:dyDescent="0.25">
      <c r="A515" s="17"/>
      <c r="B515" s="20" t="s">
        <v>567</v>
      </c>
      <c r="C515" s="9"/>
      <c r="D515" s="9"/>
      <c r="E515" s="9" t="s">
        <v>10</v>
      </c>
      <c r="F515" s="9"/>
      <c r="G515" s="9" t="s">
        <v>601</v>
      </c>
      <c r="H515" s="11">
        <f>5.1*7.3</f>
        <v>37.229999999999997</v>
      </c>
      <c r="I515" s="18">
        <v>162000</v>
      </c>
      <c r="J515" s="85">
        <v>1</v>
      </c>
      <c r="K515" s="18">
        <f t="shared" si="85"/>
        <v>6031259.9999999991</v>
      </c>
      <c r="L515" s="9"/>
      <c r="N515" s="8">
        <f t="shared" si="86"/>
        <v>162000</v>
      </c>
      <c r="O515" s="7"/>
    </row>
    <row r="516" spans="1:15" s="6" customFormat="1" ht="15.75" customHeight="1" x14ac:dyDescent="0.25">
      <c r="A516" s="17"/>
      <c r="B516" s="17" t="s">
        <v>52</v>
      </c>
      <c r="C516" s="9"/>
      <c r="D516" s="9"/>
      <c r="E516" s="9" t="s">
        <v>10</v>
      </c>
      <c r="F516" s="9"/>
      <c r="G516" s="9" t="s">
        <v>602</v>
      </c>
      <c r="H516" s="11">
        <f>5.5*2.7+2.2*2.7</f>
        <v>20.790000000000003</v>
      </c>
      <c r="I516" s="18">
        <v>347000</v>
      </c>
      <c r="J516" s="85">
        <v>1</v>
      </c>
      <c r="K516" s="18">
        <f t="shared" si="85"/>
        <v>7214130.0000000009</v>
      </c>
      <c r="L516" s="9"/>
      <c r="N516" s="8">
        <f t="shared" si="86"/>
        <v>347000</v>
      </c>
      <c r="O516" s="7"/>
    </row>
    <row r="517" spans="1:15" s="6" customFormat="1" ht="31.5" customHeight="1" x14ac:dyDescent="0.25">
      <c r="A517" s="17"/>
      <c r="B517" s="20" t="s">
        <v>603</v>
      </c>
      <c r="C517" s="9"/>
      <c r="D517" s="9"/>
      <c r="E517" s="9" t="s">
        <v>15</v>
      </c>
      <c r="F517" s="9" t="s">
        <v>338</v>
      </c>
      <c r="G517" s="9" t="s">
        <v>604</v>
      </c>
      <c r="H517" s="11">
        <f>(1.8*3.7*0.15)*2</f>
        <v>1.998</v>
      </c>
      <c r="I517" s="18">
        <v>3462000</v>
      </c>
      <c r="J517" s="85">
        <v>1</v>
      </c>
      <c r="K517" s="18">
        <f t="shared" si="85"/>
        <v>6917076</v>
      </c>
      <c r="L517" s="9"/>
      <c r="N517" s="8">
        <f t="shared" si="86"/>
        <v>3462000</v>
      </c>
      <c r="O517" s="7" t="s">
        <v>804</v>
      </c>
    </row>
    <row r="518" spans="1:15" s="6" customFormat="1" ht="15.75" customHeight="1" x14ac:dyDescent="0.25">
      <c r="A518" s="17"/>
      <c r="B518" s="20" t="s">
        <v>567</v>
      </c>
      <c r="C518" s="9"/>
      <c r="D518" s="9"/>
      <c r="E518" s="9" t="s">
        <v>10</v>
      </c>
      <c r="F518" s="9"/>
      <c r="G518" s="9" t="s">
        <v>345</v>
      </c>
      <c r="H518" s="11">
        <f>1.5*5.5</f>
        <v>8.25</v>
      </c>
      <c r="I518" s="18">
        <v>162000</v>
      </c>
      <c r="J518" s="85">
        <v>1</v>
      </c>
      <c r="K518" s="18">
        <f t="shared" si="85"/>
        <v>1336500</v>
      </c>
      <c r="L518" s="9"/>
      <c r="N518" s="8">
        <f t="shared" si="86"/>
        <v>162000</v>
      </c>
      <c r="O518" s="7"/>
    </row>
    <row r="519" spans="1:15" s="6" customFormat="1" ht="15.75" customHeight="1" x14ac:dyDescent="0.25">
      <c r="A519" s="17"/>
      <c r="B519" s="20" t="s">
        <v>54</v>
      </c>
      <c r="C519" s="9"/>
      <c r="D519" s="9"/>
      <c r="E519" s="9" t="s">
        <v>10</v>
      </c>
      <c r="F519" s="9"/>
      <c r="G519" s="9" t="s">
        <v>605</v>
      </c>
      <c r="H519" s="11">
        <f>0.9*5.5</f>
        <v>4.95</v>
      </c>
      <c r="I519" s="18">
        <v>425000</v>
      </c>
      <c r="J519" s="85">
        <v>1</v>
      </c>
      <c r="K519" s="18">
        <f t="shared" si="85"/>
        <v>2103750</v>
      </c>
      <c r="L519" s="9"/>
      <c r="N519" s="8">
        <f t="shared" si="86"/>
        <v>425000</v>
      </c>
      <c r="O519" s="7"/>
    </row>
    <row r="520" spans="1:15" s="6" customFormat="1" ht="15.75" customHeight="1" x14ac:dyDescent="0.25">
      <c r="A520" s="17"/>
      <c r="B520" s="20" t="s">
        <v>606</v>
      </c>
      <c r="C520" s="9"/>
      <c r="D520" s="9"/>
      <c r="E520" s="9" t="s">
        <v>10</v>
      </c>
      <c r="F520" s="9"/>
      <c r="G520" s="9" t="s">
        <v>607</v>
      </c>
      <c r="H520" s="11">
        <f>(5.5+4.6*2)*2.5</f>
        <v>36.75</v>
      </c>
      <c r="I520" s="18">
        <v>155000</v>
      </c>
      <c r="J520" s="85">
        <v>1</v>
      </c>
      <c r="K520" s="18">
        <f t="shared" si="85"/>
        <v>5696250</v>
      </c>
      <c r="L520" s="9"/>
      <c r="N520" s="8">
        <f t="shared" si="86"/>
        <v>155000</v>
      </c>
      <c r="O520" s="7"/>
    </row>
    <row r="521" spans="1:15" s="6" customFormat="1" ht="31.5" customHeight="1" x14ac:dyDescent="0.25">
      <c r="A521" s="17"/>
      <c r="B521" s="20" t="s">
        <v>608</v>
      </c>
      <c r="C521" s="9"/>
      <c r="D521" s="9"/>
      <c r="E521" s="9" t="s">
        <v>10</v>
      </c>
      <c r="F521" s="9"/>
      <c r="G521" s="9" t="s">
        <v>609</v>
      </c>
      <c r="H521" s="11">
        <f>2.1*2.5</f>
        <v>5.25</v>
      </c>
      <c r="I521" s="18">
        <v>356000</v>
      </c>
      <c r="J521" s="85">
        <v>1</v>
      </c>
      <c r="K521" s="18">
        <f t="shared" si="85"/>
        <v>1869000</v>
      </c>
      <c r="L521" s="9"/>
      <c r="N521" s="8">
        <f t="shared" si="86"/>
        <v>356000</v>
      </c>
      <c r="O521" s="7"/>
    </row>
    <row r="522" spans="1:15" s="6" customFormat="1" ht="15.75" customHeight="1" x14ac:dyDescent="0.25">
      <c r="A522" s="17"/>
      <c r="B522" s="20" t="s">
        <v>610</v>
      </c>
      <c r="C522" s="9"/>
      <c r="D522" s="9"/>
      <c r="E522" s="9" t="s">
        <v>10</v>
      </c>
      <c r="F522" s="9"/>
      <c r="G522" s="9" t="s">
        <v>611</v>
      </c>
      <c r="H522" s="11">
        <f>2.2*0.5</f>
        <v>1.1000000000000001</v>
      </c>
      <c r="I522" s="18">
        <v>459000</v>
      </c>
      <c r="J522" s="85">
        <v>1</v>
      </c>
      <c r="K522" s="18">
        <f t="shared" si="85"/>
        <v>504900.00000000006</v>
      </c>
      <c r="L522" s="9"/>
      <c r="N522" s="8">
        <f t="shared" si="86"/>
        <v>459000</v>
      </c>
      <c r="O522" s="7"/>
    </row>
    <row r="523" spans="1:15" s="6" customFormat="1" ht="63" customHeight="1" x14ac:dyDescent="0.25">
      <c r="A523" s="17"/>
      <c r="B523" s="20" t="s">
        <v>612</v>
      </c>
      <c r="C523" s="9"/>
      <c r="D523" s="9"/>
      <c r="E523" s="9" t="s">
        <v>10</v>
      </c>
      <c r="F523" s="9"/>
      <c r="G523" s="9" t="s">
        <v>613</v>
      </c>
      <c r="H523" s="11">
        <f>7.3*5.5</f>
        <v>40.15</v>
      </c>
      <c r="I523" s="18">
        <f>(2901000-38000)*80%</f>
        <v>2290400</v>
      </c>
      <c r="J523" s="85">
        <v>1</v>
      </c>
      <c r="K523" s="18">
        <f t="shared" si="85"/>
        <v>91959560</v>
      </c>
      <c r="L523" s="9"/>
      <c r="N523" s="8">
        <f t="shared" si="86"/>
        <v>2290400</v>
      </c>
      <c r="O523" s="7"/>
    </row>
    <row r="524" spans="1:15" s="6" customFormat="1" ht="31.5" customHeight="1" x14ac:dyDescent="0.25">
      <c r="A524" s="17"/>
      <c r="B524" s="87" t="s">
        <v>238</v>
      </c>
      <c r="C524" s="9"/>
      <c r="D524" s="9"/>
      <c r="E524" s="9" t="s">
        <v>10</v>
      </c>
      <c r="F524" s="9"/>
      <c r="G524" s="9" t="s">
        <v>614</v>
      </c>
      <c r="H524" s="88">
        <f>7.1*5.3</f>
        <v>37.629999999999995</v>
      </c>
      <c r="I524" s="12">
        <v>162000</v>
      </c>
      <c r="J524" s="85">
        <v>1</v>
      </c>
      <c r="K524" s="12">
        <f t="shared" si="85"/>
        <v>6096059.9999999991</v>
      </c>
      <c r="L524" s="9"/>
      <c r="N524" s="8">
        <f t="shared" si="86"/>
        <v>162000</v>
      </c>
      <c r="O524" s="7"/>
    </row>
    <row r="525" spans="1:15" s="6" customFormat="1" ht="15.75" customHeight="1" x14ac:dyDescent="0.25">
      <c r="A525" s="17"/>
      <c r="B525" s="87" t="s">
        <v>45</v>
      </c>
      <c r="C525" s="9"/>
      <c r="D525" s="9"/>
      <c r="E525" s="9" t="s">
        <v>10</v>
      </c>
      <c r="F525" s="9"/>
      <c r="G525" s="9" t="s">
        <v>614</v>
      </c>
      <c r="H525" s="88">
        <f>-7.1*5.3</f>
        <v>-37.629999999999995</v>
      </c>
      <c r="I525" s="12">
        <v>102000</v>
      </c>
      <c r="J525" s="85">
        <v>1</v>
      </c>
      <c r="K525" s="12">
        <f t="shared" si="85"/>
        <v>-3838259.9999999995</v>
      </c>
      <c r="L525" s="9"/>
      <c r="N525" s="8">
        <f t="shared" si="86"/>
        <v>102000</v>
      </c>
      <c r="O525" s="7"/>
    </row>
    <row r="526" spans="1:15" s="6" customFormat="1" ht="31.5" customHeight="1" x14ac:dyDescent="0.25">
      <c r="A526" s="17"/>
      <c r="B526" s="87" t="s">
        <v>571</v>
      </c>
      <c r="C526" s="9"/>
      <c r="D526" s="9"/>
      <c r="E526" s="9" t="s">
        <v>10</v>
      </c>
      <c r="F526" s="9"/>
      <c r="G526" s="9" t="s">
        <v>615</v>
      </c>
      <c r="H526" s="11">
        <f>-(5.5*3.6+7.3*3.6)</f>
        <v>-46.08</v>
      </c>
      <c r="I526" s="12">
        <v>425000</v>
      </c>
      <c r="J526" s="85">
        <v>1</v>
      </c>
      <c r="K526" s="12">
        <f t="shared" si="85"/>
        <v>-19584000</v>
      </c>
      <c r="L526" s="9"/>
      <c r="N526" s="8">
        <f t="shared" si="86"/>
        <v>425000</v>
      </c>
      <c r="O526" s="7"/>
    </row>
    <row r="527" spans="1:15" s="6" customFormat="1" ht="15.75" customHeight="1" x14ac:dyDescent="0.25">
      <c r="A527" s="17"/>
      <c r="B527" s="10" t="s">
        <v>430</v>
      </c>
      <c r="C527" s="9"/>
      <c r="D527" s="9"/>
      <c r="E527" s="9" t="s">
        <v>10</v>
      </c>
      <c r="F527" s="9"/>
      <c r="G527" s="9" t="s">
        <v>616</v>
      </c>
      <c r="H527" s="11">
        <f>(2.2+2.4)*0.6</f>
        <v>2.76</v>
      </c>
      <c r="I527" s="12">
        <v>611000</v>
      </c>
      <c r="J527" s="85">
        <v>1</v>
      </c>
      <c r="K527" s="12">
        <f t="shared" si="85"/>
        <v>1686359.9999999998</v>
      </c>
      <c r="L527" s="9"/>
      <c r="N527" s="8">
        <f t="shared" si="86"/>
        <v>611000</v>
      </c>
      <c r="O527" s="7"/>
    </row>
    <row r="528" spans="1:15" s="6" customFormat="1" ht="15.75" customHeight="1" x14ac:dyDescent="0.25">
      <c r="A528" s="17"/>
      <c r="B528" s="10" t="s">
        <v>389</v>
      </c>
      <c r="C528" s="9"/>
      <c r="D528" s="9"/>
      <c r="E528" s="9" t="s">
        <v>15</v>
      </c>
      <c r="F528" s="9" t="s">
        <v>43</v>
      </c>
      <c r="G528" s="9" t="s">
        <v>617</v>
      </c>
      <c r="H528" s="11">
        <f>(2.2+2.4)*0.55*0.1</f>
        <v>0.253</v>
      </c>
      <c r="I528" s="12">
        <v>3341000</v>
      </c>
      <c r="J528" s="85">
        <v>1</v>
      </c>
      <c r="K528" s="12">
        <f t="shared" si="85"/>
        <v>845273</v>
      </c>
      <c r="L528" s="9"/>
      <c r="N528" s="8">
        <f t="shared" si="86"/>
        <v>3341000</v>
      </c>
      <c r="O528" s="7" t="s">
        <v>804</v>
      </c>
    </row>
    <row r="529" spans="1:16" s="6" customFormat="1" ht="15.75" customHeight="1" x14ac:dyDescent="0.25">
      <c r="A529" s="17"/>
      <c r="B529" s="10" t="s">
        <v>618</v>
      </c>
      <c r="C529" s="9"/>
      <c r="D529" s="9"/>
      <c r="E529" s="9" t="s">
        <v>10</v>
      </c>
      <c r="F529" s="9"/>
      <c r="G529" s="9" t="s">
        <v>619</v>
      </c>
      <c r="H529" s="11">
        <f>0.55*0.8*5</f>
        <v>2.2000000000000002</v>
      </c>
      <c r="I529" s="12">
        <v>255000</v>
      </c>
      <c r="J529" s="85">
        <v>1</v>
      </c>
      <c r="K529" s="12">
        <f t="shared" si="85"/>
        <v>561000</v>
      </c>
      <c r="L529" s="9"/>
      <c r="N529" s="8">
        <f t="shared" si="86"/>
        <v>255000</v>
      </c>
      <c r="O529" s="7"/>
    </row>
    <row r="530" spans="1:16" s="6" customFormat="1" ht="15.75" customHeight="1" x14ac:dyDescent="0.25">
      <c r="A530" s="17"/>
      <c r="B530" s="10" t="s">
        <v>620</v>
      </c>
      <c r="C530" s="9"/>
      <c r="D530" s="9"/>
      <c r="E530" s="9" t="s">
        <v>10</v>
      </c>
      <c r="F530" s="9"/>
      <c r="G530" s="9" t="s">
        <v>621</v>
      </c>
      <c r="H530" s="11">
        <f>4.6*0.6+1.8*1.2+0.8*0.6</f>
        <v>5.4</v>
      </c>
      <c r="I530" s="12">
        <v>221900</v>
      </c>
      <c r="J530" s="85">
        <v>1</v>
      </c>
      <c r="K530" s="12">
        <f t="shared" si="85"/>
        <v>1198260</v>
      </c>
      <c r="L530" s="9"/>
      <c r="N530" s="19">
        <f t="shared" si="86"/>
        <v>221900</v>
      </c>
      <c r="O530" s="7"/>
    </row>
    <row r="531" spans="1:16" s="6" customFormat="1" ht="15.75" customHeight="1" x14ac:dyDescent="0.25">
      <c r="A531" s="17"/>
      <c r="B531" s="10" t="s">
        <v>622</v>
      </c>
      <c r="C531" s="9"/>
      <c r="D531" s="9"/>
      <c r="E531" s="9" t="s">
        <v>10</v>
      </c>
      <c r="F531" s="9"/>
      <c r="G531" s="9" t="s">
        <v>623</v>
      </c>
      <c r="H531" s="11">
        <f>2.4*0.6</f>
        <v>1.44</v>
      </c>
      <c r="I531" s="12">
        <v>211500</v>
      </c>
      <c r="J531" s="85">
        <v>1</v>
      </c>
      <c r="K531" s="12">
        <f t="shared" si="85"/>
        <v>304560</v>
      </c>
      <c r="L531" s="9"/>
      <c r="N531" s="19">
        <v>162000</v>
      </c>
      <c r="O531" s="7"/>
    </row>
    <row r="532" spans="1:16" s="6" customFormat="1" ht="15.75" customHeight="1" x14ac:dyDescent="0.25">
      <c r="A532" s="17"/>
      <c r="B532" s="17" t="s">
        <v>256</v>
      </c>
      <c r="C532" s="9"/>
      <c r="D532" s="9"/>
      <c r="E532" s="9" t="s">
        <v>16</v>
      </c>
      <c r="F532" s="9"/>
      <c r="G532" s="9"/>
      <c r="H532" s="11">
        <v>2</v>
      </c>
      <c r="I532" s="18">
        <v>143000</v>
      </c>
      <c r="J532" s="85">
        <v>1</v>
      </c>
      <c r="K532" s="12">
        <f t="shared" si="85"/>
        <v>286000</v>
      </c>
      <c r="L532" s="9"/>
      <c r="N532" s="8">
        <f>+I532</f>
        <v>143000</v>
      </c>
      <c r="O532" s="7"/>
    </row>
    <row r="533" spans="1:16" s="6" customFormat="1" ht="15.75" customHeight="1" x14ac:dyDescent="0.25">
      <c r="A533" s="17"/>
      <c r="B533" s="17" t="s">
        <v>17</v>
      </c>
      <c r="C533" s="9"/>
      <c r="D533" s="9"/>
      <c r="E533" s="9" t="s">
        <v>16</v>
      </c>
      <c r="F533" s="9"/>
      <c r="G533" s="9"/>
      <c r="H533" s="11">
        <v>2</v>
      </c>
      <c r="I533" s="18">
        <v>450000</v>
      </c>
      <c r="J533" s="85">
        <v>1</v>
      </c>
      <c r="K533" s="12">
        <f t="shared" si="85"/>
        <v>900000</v>
      </c>
      <c r="L533" s="9"/>
      <c r="N533" s="19">
        <v>450000</v>
      </c>
      <c r="O533" s="7"/>
    </row>
    <row r="534" spans="1:16" s="6" customFormat="1" ht="15.75" customHeight="1" x14ac:dyDescent="0.25">
      <c r="A534" s="17"/>
      <c r="B534" s="17" t="s">
        <v>13</v>
      </c>
      <c r="C534" s="9"/>
      <c r="D534" s="9"/>
      <c r="E534" s="9" t="s">
        <v>16</v>
      </c>
      <c r="F534" s="9"/>
      <c r="G534" s="9"/>
      <c r="H534" s="11">
        <v>2</v>
      </c>
      <c r="I534" s="18">
        <v>350000</v>
      </c>
      <c r="J534" s="85">
        <v>1</v>
      </c>
      <c r="K534" s="12">
        <f t="shared" si="85"/>
        <v>700000</v>
      </c>
      <c r="L534" s="9"/>
      <c r="N534" s="8">
        <f t="shared" ref="N534:N540" si="87">+I534</f>
        <v>350000</v>
      </c>
      <c r="O534" s="7"/>
    </row>
    <row r="535" spans="1:16" s="6" customFormat="1" ht="15.75" customHeight="1" x14ac:dyDescent="0.25">
      <c r="A535" s="17"/>
      <c r="B535" s="20" t="s">
        <v>63</v>
      </c>
      <c r="C535" s="9"/>
      <c r="D535" s="9"/>
      <c r="E535" s="9" t="s">
        <v>14</v>
      </c>
      <c r="F535" s="9"/>
      <c r="G535" s="9"/>
      <c r="H535" s="11">
        <v>48</v>
      </c>
      <c r="I535" s="18">
        <v>6000</v>
      </c>
      <c r="J535" s="85">
        <v>1</v>
      </c>
      <c r="K535" s="18">
        <f t="shared" si="85"/>
        <v>288000</v>
      </c>
      <c r="L535" s="9"/>
      <c r="N535" s="8">
        <f t="shared" si="87"/>
        <v>6000</v>
      </c>
      <c r="O535" s="7" t="s">
        <v>804</v>
      </c>
    </row>
    <row r="536" spans="1:16" s="6" customFormat="1" ht="33.75" customHeight="1" x14ac:dyDescent="0.25">
      <c r="A536" s="17"/>
      <c r="B536" s="20" t="s">
        <v>624</v>
      </c>
      <c r="C536" s="9"/>
      <c r="D536" s="9"/>
      <c r="E536" s="9" t="s">
        <v>15</v>
      </c>
      <c r="F536" s="9"/>
      <c r="G536" s="9" t="s">
        <v>625</v>
      </c>
      <c r="H536" s="22">
        <f>(20.8*2+5.4*7)*0.25*(2.5-1.2)</f>
        <v>25.805000000000003</v>
      </c>
      <c r="I536" s="18">
        <v>914000</v>
      </c>
      <c r="J536" s="85">
        <v>1</v>
      </c>
      <c r="K536" s="18">
        <f>H536*I536</f>
        <v>23585770.000000004</v>
      </c>
      <c r="L536" s="9"/>
      <c r="N536" s="8">
        <f t="shared" si="87"/>
        <v>914000</v>
      </c>
      <c r="O536" s="7"/>
    </row>
    <row r="537" spans="1:16" s="6" customFormat="1" ht="38.25" customHeight="1" x14ac:dyDescent="0.25">
      <c r="A537" s="17"/>
      <c r="B537" s="17" t="s">
        <v>411</v>
      </c>
      <c r="C537" s="9"/>
      <c r="D537" s="9"/>
      <c r="E537" s="9" t="s">
        <v>15</v>
      </c>
      <c r="F537" s="9"/>
      <c r="G537" s="21" t="s">
        <v>634</v>
      </c>
      <c r="H537" s="22">
        <f>(1.2*1.2*0.15+0.7*0.7*0.25+0.9*0.25*0.25)*14</f>
        <v>5.5264999999999995</v>
      </c>
      <c r="I537" s="18">
        <v>4282000</v>
      </c>
      <c r="J537" s="85">
        <v>1</v>
      </c>
      <c r="K537" s="18">
        <f t="shared" ref="K537:K543" si="88">H537*I537</f>
        <v>23664472.999999996</v>
      </c>
      <c r="L537" s="9"/>
      <c r="N537" s="8">
        <f t="shared" si="87"/>
        <v>4282000</v>
      </c>
      <c r="O537" s="7" t="s">
        <v>804</v>
      </c>
    </row>
    <row r="538" spans="1:16" s="6" customFormat="1" ht="21.75" customHeight="1" x14ac:dyDescent="0.25">
      <c r="A538" s="17"/>
      <c r="B538" s="20" t="s">
        <v>219</v>
      </c>
      <c r="C538" s="9"/>
      <c r="D538" s="9"/>
      <c r="E538" s="9" t="s">
        <v>15</v>
      </c>
      <c r="F538" s="9"/>
      <c r="G538" s="9" t="s">
        <v>635</v>
      </c>
      <c r="H538" s="24">
        <f>20.8*5.4*1.3-25.805</f>
        <v>120.21100000000001</v>
      </c>
      <c r="I538" s="18">
        <v>127000</v>
      </c>
      <c r="J538" s="85">
        <v>1</v>
      </c>
      <c r="K538" s="18">
        <f t="shared" si="88"/>
        <v>15266797.000000002</v>
      </c>
      <c r="L538" s="9"/>
      <c r="M538" s="25"/>
      <c r="N538" s="8">
        <f t="shared" si="87"/>
        <v>127000</v>
      </c>
      <c r="O538" s="7" t="s">
        <v>808</v>
      </c>
      <c r="P538" s="25"/>
    </row>
    <row r="539" spans="1:16" s="6" customFormat="1" ht="15.75" customHeight="1" x14ac:dyDescent="0.25">
      <c r="A539" s="17"/>
      <c r="B539" s="98" t="s">
        <v>12</v>
      </c>
      <c r="C539" s="9"/>
      <c r="D539" s="9"/>
      <c r="E539" s="121" t="s">
        <v>14</v>
      </c>
      <c r="F539" s="121" t="s">
        <v>626</v>
      </c>
      <c r="G539" s="9" t="s">
        <v>46</v>
      </c>
      <c r="H539" s="11">
        <v>50</v>
      </c>
      <c r="I539" s="18">
        <v>136000</v>
      </c>
      <c r="J539" s="85">
        <v>1</v>
      </c>
      <c r="K539" s="18">
        <f t="shared" si="88"/>
        <v>6800000</v>
      </c>
      <c r="L539" s="9"/>
      <c r="N539" s="8">
        <f t="shared" si="87"/>
        <v>136000</v>
      </c>
      <c r="O539" s="7"/>
    </row>
    <row r="540" spans="1:16" s="6" customFormat="1" ht="15.75" customHeight="1" x14ac:dyDescent="0.25">
      <c r="A540" s="17"/>
      <c r="B540" s="98" t="s">
        <v>64</v>
      </c>
      <c r="C540" s="9"/>
      <c r="D540" s="9"/>
      <c r="E540" s="121"/>
      <c r="F540" s="121"/>
      <c r="G540" s="9"/>
      <c r="H540" s="11">
        <v>17</v>
      </c>
      <c r="I540" s="18">
        <v>245000</v>
      </c>
      <c r="J540" s="85">
        <v>1</v>
      </c>
      <c r="K540" s="18">
        <f t="shared" si="88"/>
        <v>4165000</v>
      </c>
      <c r="L540" s="9"/>
      <c r="N540" s="8">
        <f t="shared" si="87"/>
        <v>245000</v>
      </c>
      <c r="O540" s="7"/>
    </row>
    <row r="541" spans="1:16" s="6" customFormat="1" ht="15.75" customHeight="1" x14ac:dyDescent="0.25">
      <c r="A541" s="17"/>
      <c r="B541" s="98" t="s">
        <v>478</v>
      </c>
      <c r="C541" s="9"/>
      <c r="D541" s="9"/>
      <c r="E541" s="9" t="s">
        <v>10</v>
      </c>
      <c r="F541" s="9"/>
      <c r="G541" s="9" t="s">
        <v>627</v>
      </c>
      <c r="H541" s="24">
        <f>5.5*1.3*2</f>
        <v>14.3</v>
      </c>
      <c r="I541" s="18">
        <v>611000</v>
      </c>
      <c r="J541" s="85">
        <v>1</v>
      </c>
      <c r="K541" s="18">
        <f t="shared" si="88"/>
        <v>8737300</v>
      </c>
      <c r="L541" s="9"/>
      <c r="N541" s="8">
        <f t="shared" ref="N541:N542" si="89">+I541</f>
        <v>611000</v>
      </c>
      <c r="O541" s="7"/>
    </row>
    <row r="542" spans="1:16" s="6" customFormat="1" ht="31.5" customHeight="1" x14ac:dyDescent="0.25">
      <c r="A542" s="17"/>
      <c r="B542" s="10" t="s">
        <v>628</v>
      </c>
      <c r="C542" s="9"/>
      <c r="D542" s="9"/>
      <c r="E542" s="9" t="s">
        <v>10</v>
      </c>
      <c r="F542" s="9"/>
      <c r="G542" s="21" t="s">
        <v>629</v>
      </c>
      <c r="H542" s="22">
        <f>0.25*1.2*22+2.5*1.1 + 0.81*0.4*6</f>
        <v>11.294</v>
      </c>
      <c r="I542" s="18">
        <v>611000</v>
      </c>
      <c r="J542" s="85">
        <v>1</v>
      </c>
      <c r="K542" s="18">
        <f t="shared" si="88"/>
        <v>6900634</v>
      </c>
      <c r="L542" s="9"/>
      <c r="N542" s="8">
        <f t="shared" si="89"/>
        <v>611000</v>
      </c>
      <c r="O542" s="7"/>
    </row>
    <row r="543" spans="1:16" s="6" customFormat="1" ht="15.75" customHeight="1" x14ac:dyDescent="0.25">
      <c r="A543" s="17"/>
      <c r="B543" s="98" t="s">
        <v>391</v>
      </c>
      <c r="C543" s="9"/>
      <c r="D543" s="9"/>
      <c r="E543" s="9" t="s">
        <v>14</v>
      </c>
      <c r="F543" s="9"/>
      <c r="G543" s="9" t="s">
        <v>630</v>
      </c>
      <c r="H543" s="24">
        <f>5.5+20</f>
        <v>25.5</v>
      </c>
      <c r="I543" s="18">
        <v>24000</v>
      </c>
      <c r="J543" s="85">
        <v>1</v>
      </c>
      <c r="K543" s="18">
        <f t="shared" si="88"/>
        <v>612000</v>
      </c>
      <c r="L543" s="9"/>
      <c r="N543" s="8">
        <f t="shared" ref="N543:N549" si="90">+I543</f>
        <v>24000</v>
      </c>
      <c r="O543" s="7"/>
    </row>
    <row r="544" spans="1:16" s="191" customFormat="1" ht="15.75" customHeight="1" x14ac:dyDescent="0.25">
      <c r="A544" s="185"/>
      <c r="B544" s="186" t="s">
        <v>803</v>
      </c>
      <c r="C544" s="185"/>
      <c r="D544" s="185"/>
      <c r="E544" s="185" t="s">
        <v>47</v>
      </c>
      <c r="F544" s="185"/>
      <c r="G544" s="185"/>
      <c r="H544" s="187">
        <v>6</v>
      </c>
      <c r="I544" s="188">
        <v>2000000</v>
      </c>
      <c r="J544" s="189">
        <v>1</v>
      </c>
      <c r="K544" s="188">
        <f t="shared" si="85"/>
        <v>12000000</v>
      </c>
      <c r="L544" s="185"/>
      <c r="M544" s="6"/>
      <c r="N544" s="8">
        <f t="shared" si="90"/>
        <v>2000000</v>
      </c>
      <c r="O544" s="7"/>
    </row>
    <row r="545" spans="1:16" s="191" customFormat="1" ht="15.75" customHeight="1" x14ac:dyDescent="0.25">
      <c r="A545" s="185"/>
      <c r="B545" s="186" t="s">
        <v>48</v>
      </c>
      <c r="C545" s="194"/>
      <c r="D545" s="185"/>
      <c r="E545" s="185" t="s">
        <v>49</v>
      </c>
      <c r="F545" s="185"/>
      <c r="G545" s="185"/>
      <c r="H545" s="187">
        <v>1</v>
      </c>
      <c r="I545" s="188">
        <v>5000000</v>
      </c>
      <c r="J545" s="189">
        <v>1</v>
      </c>
      <c r="K545" s="188">
        <f t="shared" si="85"/>
        <v>5000000</v>
      </c>
      <c r="L545" s="185"/>
      <c r="M545" s="6"/>
      <c r="N545" s="8">
        <f t="shared" si="90"/>
        <v>5000000</v>
      </c>
      <c r="O545" s="7"/>
    </row>
    <row r="546" spans="1:16" s="6" customFormat="1" ht="31.5" customHeight="1" x14ac:dyDescent="0.25">
      <c r="A546" s="17"/>
      <c r="B546" s="20" t="s">
        <v>243</v>
      </c>
      <c r="C546" s="9"/>
      <c r="D546" s="9"/>
      <c r="E546" s="9" t="s">
        <v>14</v>
      </c>
      <c r="F546" s="9"/>
      <c r="G546" s="9"/>
      <c r="H546" s="11">
        <v>35</v>
      </c>
      <c r="I546" s="18">
        <v>46000</v>
      </c>
      <c r="J546" s="85">
        <v>1</v>
      </c>
      <c r="K546" s="18">
        <f t="shared" si="85"/>
        <v>1610000</v>
      </c>
      <c r="L546" s="9"/>
      <c r="N546" s="8">
        <f t="shared" si="90"/>
        <v>46000</v>
      </c>
      <c r="O546" s="7"/>
    </row>
    <row r="547" spans="1:16" s="6" customFormat="1" ht="30.75" customHeight="1" x14ac:dyDescent="0.25">
      <c r="A547" s="9"/>
      <c r="B547" s="17" t="s">
        <v>469</v>
      </c>
      <c r="C547" s="9"/>
      <c r="D547" s="9"/>
      <c r="E547" s="9" t="s">
        <v>15</v>
      </c>
      <c r="F547" s="21" t="s">
        <v>637</v>
      </c>
      <c r="G547" s="9" t="s">
        <v>636</v>
      </c>
      <c r="H547" s="22">
        <f>(7.3*2+5.5)*0.25*(1.9-1.2)</f>
        <v>3.5175000000000001</v>
      </c>
      <c r="I547" s="12">
        <v>914000</v>
      </c>
      <c r="J547" s="85">
        <v>1</v>
      </c>
      <c r="K547" s="18">
        <f t="shared" si="85"/>
        <v>3214995</v>
      </c>
      <c r="L547" s="84"/>
      <c r="N547" s="8">
        <f t="shared" si="90"/>
        <v>914000</v>
      </c>
      <c r="O547" s="7"/>
    </row>
    <row r="548" spans="1:16" s="6" customFormat="1" ht="31.5" x14ac:dyDescent="0.25">
      <c r="A548" s="9"/>
      <c r="B548" s="17" t="s">
        <v>638</v>
      </c>
      <c r="C548" s="9"/>
      <c r="D548" s="9"/>
      <c r="E548" s="9" t="s">
        <v>15</v>
      </c>
      <c r="F548" s="21" t="s">
        <v>637</v>
      </c>
      <c r="G548" s="9" t="s">
        <v>639</v>
      </c>
      <c r="H548" s="24">
        <f>(7.3*5.5-3.52)*(1.9-1.2)</f>
        <v>25.640999999999995</v>
      </c>
      <c r="I548" s="12">
        <v>127000</v>
      </c>
      <c r="J548" s="85">
        <v>1</v>
      </c>
      <c r="K548" s="12">
        <f t="shared" si="85"/>
        <v>3256406.9999999995</v>
      </c>
      <c r="L548" s="84"/>
      <c r="N548" s="8">
        <f t="shared" si="90"/>
        <v>127000</v>
      </c>
      <c r="O548" s="7" t="s">
        <v>808</v>
      </c>
    </row>
    <row r="549" spans="1:16" s="6" customFormat="1" ht="15.75" customHeight="1" x14ac:dyDescent="0.25">
      <c r="A549" s="9"/>
      <c r="B549" s="17" t="s">
        <v>526</v>
      </c>
      <c r="C549" s="9"/>
      <c r="D549" s="9"/>
      <c r="E549" s="9" t="s">
        <v>15</v>
      </c>
      <c r="F549" s="21" t="s">
        <v>640</v>
      </c>
      <c r="G549" s="9" t="s">
        <v>641</v>
      </c>
      <c r="H549" s="22">
        <f>(5.5+4.6*2)*0.25*(1.7-0.45)</f>
        <v>4.59375</v>
      </c>
      <c r="I549" s="12">
        <v>914000</v>
      </c>
      <c r="J549" s="85">
        <v>1</v>
      </c>
      <c r="K549" s="12">
        <f t="shared" si="85"/>
        <v>4198687.5</v>
      </c>
      <c r="L549" s="84"/>
      <c r="N549" s="8">
        <f t="shared" si="90"/>
        <v>914000</v>
      </c>
      <c r="O549" s="7"/>
    </row>
    <row r="550" spans="1:16" s="26" customFormat="1" ht="15.75" customHeight="1" x14ac:dyDescent="0.25">
      <c r="A550" s="13">
        <v>21</v>
      </c>
      <c r="B550" s="14" t="s">
        <v>642</v>
      </c>
      <c r="C550" s="13"/>
      <c r="D550" s="13"/>
      <c r="E550" s="13"/>
      <c r="F550" s="13"/>
      <c r="G550" s="9"/>
      <c r="H550" s="15"/>
      <c r="I550" s="89"/>
      <c r="J550" s="91"/>
      <c r="K550" s="89">
        <f>SUM(K551:K556)</f>
        <v>30512806.5</v>
      </c>
      <c r="L550" s="49"/>
      <c r="N550" s="5"/>
      <c r="O550" s="5"/>
    </row>
    <row r="551" spans="1:16" s="6" customFormat="1" ht="31.5" customHeight="1" x14ac:dyDescent="0.25">
      <c r="A551" s="9"/>
      <c r="B551" s="20" t="s">
        <v>643</v>
      </c>
      <c r="C551" s="9"/>
      <c r="D551" s="9"/>
      <c r="E551" s="9" t="s">
        <v>15</v>
      </c>
      <c r="F551" s="9"/>
      <c r="G551" s="9" t="s">
        <v>646</v>
      </c>
      <c r="H551" s="11">
        <f>-(0.27*1.1*31+0.9*1.1*2)</f>
        <v>-11.187000000000001</v>
      </c>
      <c r="I551" s="12">
        <v>611000</v>
      </c>
      <c r="J551" s="85">
        <v>1</v>
      </c>
      <c r="K551" s="12">
        <f t="shared" ref="K551:K556" si="91">H551*I551</f>
        <v>-6835257.0000000009</v>
      </c>
      <c r="L551" s="84"/>
      <c r="N551" s="8">
        <f t="shared" ref="N551:N552" si="92">+I551</f>
        <v>611000</v>
      </c>
      <c r="O551" s="7"/>
    </row>
    <row r="552" spans="1:16" s="6" customFormat="1" ht="15.75" customHeight="1" x14ac:dyDescent="0.25">
      <c r="A552" s="9"/>
      <c r="B552" s="17" t="s">
        <v>644</v>
      </c>
      <c r="C552" s="9"/>
      <c r="D552" s="9"/>
      <c r="E552" s="9" t="s">
        <v>15</v>
      </c>
      <c r="F552" s="9"/>
      <c r="G552" s="9" t="s">
        <v>645</v>
      </c>
      <c r="H552" s="24">
        <f>0.45*0.95*51+0.9*1*2</f>
        <v>23.602499999999999</v>
      </c>
      <c r="I552" s="12">
        <v>611000</v>
      </c>
      <c r="J552" s="85">
        <v>1</v>
      </c>
      <c r="K552" s="12">
        <f t="shared" si="91"/>
        <v>14421127.5</v>
      </c>
      <c r="L552" s="84"/>
      <c r="N552" s="8">
        <f t="shared" si="92"/>
        <v>611000</v>
      </c>
      <c r="O552" s="7"/>
    </row>
    <row r="553" spans="1:16" s="6" customFormat="1" ht="31.5" customHeight="1" x14ac:dyDescent="0.25">
      <c r="A553" s="9"/>
      <c r="B553" s="17" t="s">
        <v>223</v>
      </c>
      <c r="C553" s="9"/>
      <c r="D553" s="9"/>
      <c r="E553" s="9" t="s">
        <v>15</v>
      </c>
      <c r="F553" s="21" t="s">
        <v>647</v>
      </c>
      <c r="G553" s="9" t="s">
        <v>648</v>
      </c>
      <c r="H553" s="24">
        <f>15*0.45*(1.85-0.45)</f>
        <v>9.4500000000000011</v>
      </c>
      <c r="I553" s="12">
        <v>552000</v>
      </c>
      <c r="J553" s="85">
        <v>1</v>
      </c>
      <c r="K553" s="12">
        <f t="shared" si="91"/>
        <v>5216400.0000000009</v>
      </c>
      <c r="L553" s="84"/>
      <c r="N553" s="8">
        <f>+I553</f>
        <v>552000</v>
      </c>
      <c r="O553" s="7"/>
    </row>
    <row r="554" spans="1:16" s="6" customFormat="1" ht="15.75" customHeight="1" x14ac:dyDescent="0.25">
      <c r="A554" s="9"/>
      <c r="B554" s="17" t="s">
        <v>478</v>
      </c>
      <c r="C554" s="9"/>
      <c r="D554" s="9"/>
      <c r="E554" s="9" t="s">
        <v>15</v>
      </c>
      <c r="F554" s="9"/>
      <c r="G554" s="9" t="s">
        <v>649</v>
      </c>
      <c r="H554" s="24">
        <f>0.45*5.6*3</f>
        <v>7.5600000000000005</v>
      </c>
      <c r="I554" s="12">
        <v>611000</v>
      </c>
      <c r="J554" s="85">
        <v>1</v>
      </c>
      <c r="K554" s="12">
        <f t="shared" si="91"/>
        <v>4619160</v>
      </c>
      <c r="L554" s="84"/>
      <c r="N554" s="8">
        <f>+I554</f>
        <v>611000</v>
      </c>
      <c r="O554" s="7"/>
    </row>
    <row r="555" spans="1:16" s="6" customFormat="1" ht="15.75" customHeight="1" x14ac:dyDescent="0.25">
      <c r="A555" s="9"/>
      <c r="B555" s="17" t="s">
        <v>67</v>
      </c>
      <c r="C555" s="9"/>
      <c r="D555" s="9"/>
      <c r="E555" s="9" t="s">
        <v>10</v>
      </c>
      <c r="F555" s="9"/>
      <c r="G555" s="9" t="s">
        <v>650</v>
      </c>
      <c r="H555" s="24">
        <f>15*1.6</f>
        <v>24</v>
      </c>
      <c r="I555" s="12">
        <v>425000</v>
      </c>
      <c r="J555" s="85">
        <v>1</v>
      </c>
      <c r="K555" s="12">
        <f t="shared" si="91"/>
        <v>10200000</v>
      </c>
      <c r="L555" s="84"/>
      <c r="N555" s="8">
        <f>+I555</f>
        <v>425000</v>
      </c>
      <c r="O555" s="7"/>
    </row>
    <row r="556" spans="1:16" s="6" customFormat="1" ht="31.5" customHeight="1" x14ac:dyDescent="0.25">
      <c r="A556" s="9"/>
      <c r="B556" s="17" t="s">
        <v>223</v>
      </c>
      <c r="C556" s="9"/>
      <c r="D556" s="9"/>
      <c r="E556" s="9" t="s">
        <v>15</v>
      </c>
      <c r="F556" s="21" t="s">
        <v>651</v>
      </c>
      <c r="G556" s="9" t="s">
        <v>652</v>
      </c>
      <c r="H556" s="22">
        <f>(5.5+3+1.2)*0.45*(1.65-0.45)</f>
        <v>5.2380000000000004</v>
      </c>
      <c r="I556" s="12">
        <v>552000</v>
      </c>
      <c r="J556" s="85">
        <v>1</v>
      </c>
      <c r="K556" s="12">
        <f t="shared" si="91"/>
        <v>2891376.0000000005</v>
      </c>
      <c r="L556" s="84"/>
      <c r="N556" s="8">
        <f>+I556</f>
        <v>552000</v>
      </c>
      <c r="O556" s="7"/>
    </row>
    <row r="557" spans="1:16" s="26" customFormat="1" ht="15.75" customHeight="1" x14ac:dyDescent="0.25">
      <c r="A557" s="13">
        <v>22</v>
      </c>
      <c r="B557" s="14" t="s">
        <v>664</v>
      </c>
      <c r="C557" s="13"/>
      <c r="D557" s="13"/>
      <c r="E557" s="13"/>
      <c r="F557" s="13"/>
      <c r="G557" s="9"/>
      <c r="H557" s="15"/>
      <c r="I557" s="89"/>
      <c r="J557" s="91"/>
      <c r="K557" s="89">
        <f>SUM(K558:K564)</f>
        <v>188109970</v>
      </c>
      <c r="L557" s="49"/>
      <c r="N557" s="5"/>
      <c r="O557" s="5"/>
    </row>
    <row r="558" spans="1:16" s="6" customFormat="1" ht="31.5" customHeight="1" x14ac:dyDescent="0.25">
      <c r="A558" s="9"/>
      <c r="B558" s="17" t="s">
        <v>812</v>
      </c>
      <c r="C558" s="9"/>
      <c r="D558" s="9"/>
      <c r="E558" s="9" t="s">
        <v>15</v>
      </c>
      <c r="F558" s="9" t="s">
        <v>665</v>
      </c>
      <c r="G558" s="21" t="s">
        <v>660</v>
      </c>
      <c r="H558" s="22">
        <f>(12.5*3+8.5*4)*(0.4*0.25+0.4*0.4)</f>
        <v>18.59</v>
      </c>
      <c r="I558" s="18">
        <v>4282000</v>
      </c>
      <c r="J558" s="85">
        <v>1</v>
      </c>
      <c r="K558" s="18">
        <f>H558*I558</f>
        <v>79602380</v>
      </c>
      <c r="L558" s="84"/>
      <c r="N558" s="8">
        <f t="shared" ref="N558:N564" si="93">+I558</f>
        <v>4282000</v>
      </c>
      <c r="O558" s="7" t="s">
        <v>804</v>
      </c>
      <c r="P558" s="6" t="s">
        <v>813</v>
      </c>
    </row>
    <row r="559" spans="1:16" s="6" customFormat="1" ht="24" customHeight="1" x14ac:dyDescent="0.25">
      <c r="A559" s="9"/>
      <c r="B559" s="17" t="s">
        <v>661</v>
      </c>
      <c r="C559" s="9"/>
      <c r="D559" s="9"/>
      <c r="E559" s="9" t="s">
        <v>15</v>
      </c>
      <c r="F559" s="9" t="s">
        <v>665</v>
      </c>
      <c r="G559" s="9" t="s">
        <v>662</v>
      </c>
      <c r="H559" s="22">
        <f>(12.5*3+8.5*4)*0.4*2.35</f>
        <v>67.210000000000008</v>
      </c>
      <c r="I559" s="18">
        <v>914000</v>
      </c>
      <c r="J559" s="85">
        <v>1</v>
      </c>
      <c r="K559" s="18">
        <f>H559*I559</f>
        <v>61429940.000000007</v>
      </c>
      <c r="L559" s="84"/>
      <c r="N559" s="8">
        <f t="shared" si="93"/>
        <v>914000</v>
      </c>
      <c r="O559" s="7"/>
    </row>
    <row r="560" spans="1:16" s="6" customFormat="1" ht="31.5" x14ac:dyDescent="0.25">
      <c r="A560" s="9"/>
      <c r="B560" s="17" t="s">
        <v>350</v>
      </c>
      <c r="C560" s="9"/>
      <c r="D560" s="9"/>
      <c r="E560" s="9" t="s">
        <v>15</v>
      </c>
      <c r="F560" s="9" t="s">
        <v>665</v>
      </c>
      <c r="G560" s="21" t="s">
        <v>663</v>
      </c>
      <c r="H560" s="22">
        <f>12.5*8.5*3-((12.5*3+8.5*4)*0.4*3)</f>
        <v>232.95</v>
      </c>
      <c r="I560" s="18">
        <v>127000</v>
      </c>
      <c r="J560" s="85">
        <v>1</v>
      </c>
      <c r="K560" s="18">
        <f>H560*I560</f>
        <v>29584650</v>
      </c>
      <c r="L560" s="84"/>
      <c r="N560" s="8">
        <f t="shared" si="93"/>
        <v>127000</v>
      </c>
      <c r="O560" s="7" t="s">
        <v>808</v>
      </c>
    </row>
    <row r="561" spans="1:15" s="191" customFormat="1" x14ac:dyDescent="0.25">
      <c r="A561" s="185"/>
      <c r="B561" s="186" t="s">
        <v>803</v>
      </c>
      <c r="C561" s="185"/>
      <c r="D561" s="185"/>
      <c r="E561" s="185" t="s">
        <v>47</v>
      </c>
      <c r="F561" s="185"/>
      <c r="G561" s="185"/>
      <c r="H561" s="187">
        <v>6</v>
      </c>
      <c r="I561" s="188">
        <v>2000000</v>
      </c>
      <c r="J561" s="189">
        <v>1</v>
      </c>
      <c r="K561" s="188">
        <f t="shared" ref="K561:K562" si="94">H561*I561</f>
        <v>12000000</v>
      </c>
      <c r="L561" s="185"/>
      <c r="N561" s="192">
        <f t="shared" si="93"/>
        <v>2000000</v>
      </c>
      <c r="O561" s="193"/>
    </row>
    <row r="562" spans="1:15" s="191" customFormat="1" x14ac:dyDescent="0.25">
      <c r="A562" s="185"/>
      <c r="B562" s="186" t="s">
        <v>48</v>
      </c>
      <c r="C562" s="194"/>
      <c r="D562" s="185"/>
      <c r="E562" s="185" t="s">
        <v>49</v>
      </c>
      <c r="F562" s="185"/>
      <c r="G562" s="185"/>
      <c r="H562" s="187">
        <v>1</v>
      </c>
      <c r="I562" s="188">
        <v>5000000</v>
      </c>
      <c r="J562" s="189">
        <v>1</v>
      </c>
      <c r="K562" s="188">
        <f t="shared" si="94"/>
        <v>5000000</v>
      </c>
      <c r="L562" s="185"/>
      <c r="N562" s="192">
        <f t="shared" si="93"/>
        <v>5000000</v>
      </c>
      <c r="O562" s="193"/>
    </row>
    <row r="563" spans="1:15" s="6" customFormat="1" x14ac:dyDescent="0.25">
      <c r="A563" s="9"/>
      <c r="B563" s="17" t="s">
        <v>13</v>
      </c>
      <c r="C563" s="9"/>
      <c r="D563" s="9"/>
      <c r="E563" s="9" t="s">
        <v>16</v>
      </c>
      <c r="F563" s="9"/>
      <c r="G563" s="21"/>
      <c r="H563" s="22">
        <v>1</v>
      </c>
      <c r="I563" s="18">
        <v>350000</v>
      </c>
      <c r="J563" s="85">
        <v>1</v>
      </c>
      <c r="K563" s="18">
        <f>H563*I563</f>
        <v>350000</v>
      </c>
      <c r="L563" s="84"/>
      <c r="N563" s="8">
        <f t="shared" si="93"/>
        <v>350000</v>
      </c>
      <c r="O563" s="7"/>
    </row>
    <row r="564" spans="1:15" s="6" customFormat="1" x14ac:dyDescent="0.25">
      <c r="A564" s="9"/>
      <c r="B564" s="17" t="s">
        <v>452</v>
      </c>
      <c r="C564" s="9"/>
      <c r="D564" s="9"/>
      <c r="E564" s="9" t="s">
        <v>16</v>
      </c>
      <c r="F564" s="9"/>
      <c r="G564" s="21"/>
      <c r="H564" s="22">
        <v>1</v>
      </c>
      <c r="I564" s="18">
        <v>143000</v>
      </c>
      <c r="J564" s="85">
        <v>1</v>
      </c>
      <c r="K564" s="18">
        <f>H564*I564</f>
        <v>143000</v>
      </c>
      <c r="L564" s="84"/>
      <c r="N564" s="8">
        <f t="shared" si="93"/>
        <v>143000</v>
      </c>
      <c r="O564" s="7"/>
    </row>
    <row r="565" spans="1:15" s="26" customFormat="1" x14ac:dyDescent="0.25">
      <c r="A565" s="13">
        <v>23</v>
      </c>
      <c r="B565" s="14" t="s">
        <v>666</v>
      </c>
      <c r="C565" s="13"/>
      <c r="D565" s="13"/>
      <c r="E565" s="13"/>
      <c r="F565" s="13"/>
      <c r="G565" s="13"/>
      <c r="H565" s="15"/>
      <c r="I565" s="89"/>
      <c r="J565" s="91"/>
      <c r="K565" s="89">
        <f>SUM(K566:K568)</f>
        <v>16143712</v>
      </c>
      <c r="L565" s="49"/>
      <c r="N565" s="5"/>
      <c r="O565" s="5"/>
    </row>
    <row r="566" spans="1:15" s="6" customFormat="1" ht="31.5" x14ac:dyDescent="0.25">
      <c r="A566" s="9"/>
      <c r="B566" s="20" t="s">
        <v>667</v>
      </c>
      <c r="C566" s="9"/>
      <c r="D566" s="9"/>
      <c r="E566" s="9" t="s">
        <v>15</v>
      </c>
      <c r="F566" s="9" t="s">
        <v>43</v>
      </c>
      <c r="G566" s="9" t="s">
        <v>668</v>
      </c>
      <c r="H566" s="24">
        <f>3*2.1*0.1*2</f>
        <v>1.2600000000000002</v>
      </c>
      <c r="I566" s="12">
        <v>3341000</v>
      </c>
      <c r="J566" s="85">
        <v>1</v>
      </c>
      <c r="K566" s="12">
        <f>H566*I566</f>
        <v>4209660.0000000009</v>
      </c>
      <c r="L566" s="84"/>
      <c r="N566" s="8">
        <f t="shared" ref="N566:N568" si="95">+I566</f>
        <v>3341000</v>
      </c>
      <c r="O566" s="7" t="s">
        <v>804</v>
      </c>
    </row>
    <row r="567" spans="1:15" s="6" customFormat="1" ht="31.5" x14ac:dyDescent="0.25">
      <c r="A567" s="9"/>
      <c r="B567" s="20" t="s">
        <v>669</v>
      </c>
      <c r="C567" s="9"/>
      <c r="D567" s="9"/>
      <c r="E567" s="9" t="s">
        <v>15</v>
      </c>
      <c r="F567" s="9" t="s">
        <v>43</v>
      </c>
      <c r="G567" s="9" t="s">
        <v>670</v>
      </c>
      <c r="H567" s="24">
        <f>0.6*0.6*0.1*2</f>
        <v>7.1999999999999995E-2</v>
      </c>
      <c r="I567" s="12">
        <v>3341000</v>
      </c>
      <c r="J567" s="85">
        <v>1</v>
      </c>
      <c r="K567" s="12">
        <f t="shared" ref="K567:K568" si="96">H567*I567</f>
        <v>240551.99999999997</v>
      </c>
      <c r="L567" s="84"/>
      <c r="N567" s="8">
        <f t="shared" si="95"/>
        <v>3341000</v>
      </c>
      <c r="O567" s="7" t="s">
        <v>804</v>
      </c>
    </row>
    <row r="568" spans="1:15" s="6" customFormat="1" ht="31.5" x14ac:dyDescent="0.25">
      <c r="A568" s="9"/>
      <c r="B568" s="20" t="s">
        <v>671</v>
      </c>
      <c r="C568" s="9"/>
      <c r="D568" s="9"/>
      <c r="E568" s="9" t="s">
        <v>15</v>
      </c>
      <c r="F568" s="9" t="s">
        <v>43</v>
      </c>
      <c r="G568" s="9" t="s">
        <v>672</v>
      </c>
      <c r="H568" s="24">
        <f>3.5*2.5*0.2*2</f>
        <v>3.5</v>
      </c>
      <c r="I568" s="12">
        <v>3341000</v>
      </c>
      <c r="J568" s="85">
        <v>1</v>
      </c>
      <c r="K568" s="12">
        <f t="shared" si="96"/>
        <v>11693500</v>
      </c>
      <c r="L568" s="84"/>
      <c r="N568" s="8">
        <f t="shared" si="95"/>
        <v>3341000</v>
      </c>
      <c r="O568" s="7" t="s">
        <v>804</v>
      </c>
    </row>
    <row r="569" spans="1:15" s="6" customFormat="1" x14ac:dyDescent="0.25">
      <c r="A569" s="13">
        <v>24</v>
      </c>
      <c r="B569" s="99" t="s">
        <v>673</v>
      </c>
      <c r="C569" s="13">
        <v>144</v>
      </c>
      <c r="D569" s="13">
        <v>2</v>
      </c>
      <c r="E569" s="13"/>
      <c r="F569" s="13"/>
      <c r="G569" s="13"/>
      <c r="H569" s="15"/>
      <c r="I569" s="14"/>
      <c r="J569" s="39"/>
      <c r="K569" s="89">
        <f>SUM(K570:K638)</f>
        <v>744074428.60000002</v>
      </c>
      <c r="L569" s="84"/>
      <c r="N569" s="7"/>
      <c r="O569" s="7"/>
    </row>
    <row r="570" spans="1:15" s="139" customFormat="1" x14ac:dyDescent="0.25">
      <c r="A570" s="133"/>
      <c r="B570" s="142" t="s">
        <v>9</v>
      </c>
      <c r="C570" s="133"/>
      <c r="D570" s="133"/>
      <c r="E570" s="133" t="s">
        <v>10</v>
      </c>
      <c r="F570" s="133"/>
      <c r="G570" s="133"/>
      <c r="H570" s="135">
        <v>89.8</v>
      </c>
      <c r="I570" s="136">
        <v>2100000</v>
      </c>
      <c r="J570" s="137">
        <v>1</v>
      </c>
      <c r="K570" s="141">
        <f>H570*I570</f>
        <v>188580000</v>
      </c>
      <c r="L570" s="138"/>
      <c r="M570" s="6"/>
      <c r="N570" s="8">
        <f>+I570</f>
        <v>2100000</v>
      </c>
      <c r="O570" s="7"/>
    </row>
    <row r="571" spans="1:15" s="6" customFormat="1" ht="94.5" x14ac:dyDescent="0.25">
      <c r="A571" s="9"/>
      <c r="B571" s="10" t="s">
        <v>674</v>
      </c>
      <c r="C571" s="21"/>
      <c r="D571" s="10"/>
      <c r="E571" s="9" t="s">
        <v>10</v>
      </c>
      <c r="F571" s="9"/>
      <c r="G571" s="9" t="s">
        <v>675</v>
      </c>
      <c r="H571" s="11">
        <f>13.9*6.9</f>
        <v>95.910000000000011</v>
      </c>
      <c r="I571" s="18">
        <f>2901000+6*32000</f>
        <v>3093000</v>
      </c>
      <c r="J571" s="85">
        <v>1</v>
      </c>
      <c r="K571" s="12">
        <f>H571*I571</f>
        <v>296649630.00000006</v>
      </c>
      <c r="L571" s="84"/>
      <c r="N571" s="8">
        <f t="shared" ref="N571:N580" si="97">+I571</f>
        <v>3093000</v>
      </c>
      <c r="O571" s="7"/>
    </row>
    <row r="572" spans="1:15" s="6" customFormat="1" ht="31.5" x14ac:dyDescent="0.25">
      <c r="A572" s="9"/>
      <c r="B572" s="87" t="s">
        <v>60</v>
      </c>
      <c r="C572" s="9"/>
      <c r="D572" s="9"/>
      <c r="E572" s="9" t="s">
        <v>10</v>
      </c>
      <c r="F572" s="9"/>
      <c r="G572" s="21" t="s">
        <v>676</v>
      </c>
      <c r="H572" s="88">
        <f>13.4*6.5</f>
        <v>87.100000000000009</v>
      </c>
      <c r="I572" s="12">
        <v>149000</v>
      </c>
      <c r="J572" s="85">
        <v>1</v>
      </c>
      <c r="K572" s="12">
        <f>H572*I572</f>
        <v>12977900.000000002</v>
      </c>
      <c r="L572" s="84"/>
      <c r="N572" s="8">
        <f t="shared" si="97"/>
        <v>149000</v>
      </c>
      <c r="O572" s="7"/>
    </row>
    <row r="573" spans="1:15" s="6" customFormat="1" x14ac:dyDescent="0.25">
      <c r="A573" s="9"/>
      <c r="B573" s="87" t="s">
        <v>45</v>
      </c>
      <c r="C573" s="9"/>
      <c r="D573" s="9"/>
      <c r="E573" s="9" t="s">
        <v>10</v>
      </c>
      <c r="F573" s="9"/>
      <c r="G573" s="21" t="s">
        <v>676</v>
      </c>
      <c r="H573" s="88">
        <f>-13.4*6.5</f>
        <v>-87.100000000000009</v>
      </c>
      <c r="I573" s="12">
        <v>102000</v>
      </c>
      <c r="J573" s="85">
        <v>1</v>
      </c>
      <c r="K573" s="12">
        <f>H573*I573</f>
        <v>-8884200</v>
      </c>
      <c r="L573" s="84"/>
      <c r="N573" s="8">
        <f t="shared" si="97"/>
        <v>102000</v>
      </c>
      <c r="O573" s="7"/>
    </row>
    <row r="574" spans="1:15" s="6" customFormat="1" x14ac:dyDescent="0.25">
      <c r="A574" s="9"/>
      <c r="B574" s="10" t="s">
        <v>20</v>
      </c>
      <c r="C574" s="21"/>
      <c r="D574" s="10"/>
      <c r="E574" s="9" t="s">
        <v>10</v>
      </c>
      <c r="F574" s="9"/>
      <c r="G574" s="9" t="s">
        <v>677</v>
      </c>
      <c r="H574" s="11">
        <f>6.8*6</f>
        <v>40.799999999999997</v>
      </c>
      <c r="I574" s="18">
        <v>131000</v>
      </c>
      <c r="J574" s="85">
        <v>1</v>
      </c>
      <c r="K574" s="12">
        <f t="shared" ref="K574:K638" si="98">H574*I574</f>
        <v>5344800</v>
      </c>
      <c r="L574" s="84"/>
      <c r="N574" s="8">
        <f t="shared" si="97"/>
        <v>131000</v>
      </c>
      <c r="O574" s="7"/>
    </row>
    <row r="575" spans="1:15" s="6" customFormat="1" x14ac:dyDescent="0.25">
      <c r="A575" s="9"/>
      <c r="B575" s="10" t="s">
        <v>21</v>
      </c>
      <c r="C575" s="21"/>
      <c r="D575" s="10"/>
      <c r="E575" s="9" t="s">
        <v>10</v>
      </c>
      <c r="F575" s="9"/>
      <c r="G575" s="9" t="s">
        <v>678</v>
      </c>
      <c r="H575" s="11">
        <f>6*3.8</f>
        <v>22.799999999999997</v>
      </c>
      <c r="I575" s="18">
        <v>153000</v>
      </c>
      <c r="J575" s="85">
        <v>1</v>
      </c>
      <c r="K575" s="12">
        <f t="shared" si="98"/>
        <v>3488399.9999999995</v>
      </c>
      <c r="L575" s="84"/>
      <c r="N575" s="8">
        <f t="shared" si="97"/>
        <v>153000</v>
      </c>
      <c r="O575" s="7"/>
    </row>
    <row r="576" spans="1:15" s="6" customFormat="1" ht="94.5" x14ac:dyDescent="0.25">
      <c r="A576" s="9"/>
      <c r="B576" s="10" t="s">
        <v>679</v>
      </c>
      <c r="C576" s="21"/>
      <c r="D576" s="10"/>
      <c r="E576" s="9" t="s">
        <v>10</v>
      </c>
      <c r="F576" s="9"/>
      <c r="G576" s="9" t="s">
        <v>680</v>
      </c>
      <c r="H576" s="11">
        <f>7.1*4.8</f>
        <v>34.08</v>
      </c>
      <c r="I576" s="18">
        <f>2901000-11*32000</f>
        <v>2549000</v>
      </c>
      <c r="J576" s="85">
        <v>1</v>
      </c>
      <c r="K576" s="12">
        <f t="shared" si="98"/>
        <v>86869920</v>
      </c>
      <c r="L576" s="84"/>
      <c r="N576" s="8">
        <f t="shared" si="97"/>
        <v>2549000</v>
      </c>
      <c r="O576" s="7"/>
    </row>
    <row r="577" spans="1:15" s="6" customFormat="1" x14ac:dyDescent="0.25">
      <c r="A577" s="9"/>
      <c r="B577" s="87" t="s">
        <v>56</v>
      </c>
      <c r="C577" s="9"/>
      <c r="D577" s="9"/>
      <c r="E577" s="9" t="s">
        <v>10</v>
      </c>
      <c r="F577" s="9"/>
      <c r="G577" s="21" t="s">
        <v>681</v>
      </c>
      <c r="H577" s="88">
        <f>6.6*4.3</f>
        <v>28.38</v>
      </c>
      <c r="I577" s="12">
        <v>77000</v>
      </c>
      <c r="J577" s="85">
        <v>1</v>
      </c>
      <c r="K577" s="12">
        <f>H577*I577</f>
        <v>2185260</v>
      </c>
      <c r="L577" s="84"/>
      <c r="N577" s="8">
        <f t="shared" si="97"/>
        <v>77000</v>
      </c>
      <c r="O577" s="7"/>
    </row>
    <row r="578" spans="1:15" s="6" customFormat="1" x14ac:dyDescent="0.25">
      <c r="A578" s="9"/>
      <c r="B578" s="87" t="s">
        <v>45</v>
      </c>
      <c r="C578" s="9"/>
      <c r="D578" s="9"/>
      <c r="E578" s="9" t="s">
        <v>10</v>
      </c>
      <c r="F578" s="9"/>
      <c r="G578" s="21" t="s">
        <v>681</v>
      </c>
      <c r="H578" s="88">
        <f>-6.6*4.3</f>
        <v>-28.38</v>
      </c>
      <c r="I578" s="12">
        <v>102000</v>
      </c>
      <c r="J578" s="85">
        <v>1</v>
      </c>
      <c r="K578" s="12">
        <f>H578*I578</f>
        <v>-2894760</v>
      </c>
      <c r="L578" s="84"/>
      <c r="N578" s="8">
        <f t="shared" si="97"/>
        <v>102000</v>
      </c>
      <c r="O578" s="7"/>
    </row>
    <row r="579" spans="1:15" s="6" customFormat="1" x14ac:dyDescent="0.25">
      <c r="A579" s="9"/>
      <c r="B579" s="98" t="s">
        <v>430</v>
      </c>
      <c r="C579" s="9"/>
      <c r="D579" s="98"/>
      <c r="E579" s="9" t="s">
        <v>10</v>
      </c>
      <c r="F579" s="9"/>
      <c r="G579" s="9" t="s">
        <v>682</v>
      </c>
      <c r="H579" s="11">
        <f>4.2*0.6</f>
        <v>2.52</v>
      </c>
      <c r="I579" s="18">
        <v>611000</v>
      </c>
      <c r="J579" s="85">
        <v>1</v>
      </c>
      <c r="K579" s="12">
        <f t="shared" si="98"/>
        <v>1539720</v>
      </c>
      <c r="L579" s="84"/>
      <c r="N579" s="8">
        <f t="shared" si="97"/>
        <v>611000</v>
      </c>
      <c r="O579" s="7"/>
    </row>
    <row r="580" spans="1:15" s="6" customFormat="1" x14ac:dyDescent="0.25">
      <c r="A580" s="9"/>
      <c r="B580" s="98" t="s">
        <v>683</v>
      </c>
      <c r="C580" s="9"/>
      <c r="D580" s="98"/>
      <c r="E580" s="9" t="s">
        <v>15</v>
      </c>
      <c r="F580" s="9" t="s">
        <v>43</v>
      </c>
      <c r="G580" s="9" t="s">
        <v>684</v>
      </c>
      <c r="H580" s="11">
        <f>4.2*0.6*0.1</f>
        <v>0.252</v>
      </c>
      <c r="I580" s="18">
        <v>3341000</v>
      </c>
      <c r="J580" s="85">
        <v>1</v>
      </c>
      <c r="K580" s="12">
        <f t="shared" si="98"/>
        <v>841932</v>
      </c>
      <c r="L580" s="84"/>
      <c r="N580" s="8">
        <f t="shared" si="97"/>
        <v>3341000</v>
      </c>
      <c r="O580" s="7" t="s">
        <v>804</v>
      </c>
    </row>
    <row r="581" spans="1:15" s="6" customFormat="1" ht="31.5" x14ac:dyDescent="0.25">
      <c r="A581" s="9"/>
      <c r="B581" s="10" t="s">
        <v>685</v>
      </c>
      <c r="C581" s="21"/>
      <c r="D581" s="10"/>
      <c r="E581" s="9" t="s">
        <v>10</v>
      </c>
      <c r="F581" s="9"/>
      <c r="G581" s="9" t="s">
        <v>686</v>
      </c>
      <c r="H581" s="11">
        <f>5*1.5</f>
        <v>7.5</v>
      </c>
      <c r="I581" s="18">
        <v>211500</v>
      </c>
      <c r="J581" s="85">
        <v>1</v>
      </c>
      <c r="K581" s="12">
        <f t="shared" si="98"/>
        <v>1586250</v>
      </c>
      <c r="L581" s="84"/>
      <c r="N581" s="8">
        <f t="shared" ref="N581:N586" si="99">+I581</f>
        <v>211500</v>
      </c>
      <c r="O581" s="7"/>
    </row>
    <row r="582" spans="1:15" s="6" customFormat="1" x14ac:dyDescent="0.25">
      <c r="A582" s="9"/>
      <c r="B582" s="10" t="s">
        <v>687</v>
      </c>
      <c r="C582" s="21"/>
      <c r="D582" s="10"/>
      <c r="E582" s="9" t="s">
        <v>10</v>
      </c>
      <c r="F582" s="9"/>
      <c r="G582" s="9" t="s">
        <v>688</v>
      </c>
      <c r="H582" s="11">
        <f>4.5*3.4</f>
        <v>15.299999999999999</v>
      </c>
      <c r="I582" s="18">
        <v>181000</v>
      </c>
      <c r="J582" s="85">
        <v>1</v>
      </c>
      <c r="K582" s="12">
        <f t="shared" si="98"/>
        <v>2769300</v>
      </c>
      <c r="L582" s="84"/>
      <c r="N582" s="8">
        <f t="shared" si="99"/>
        <v>181000</v>
      </c>
      <c r="O582" s="7"/>
    </row>
    <row r="583" spans="1:15" s="6" customFormat="1" x14ac:dyDescent="0.25">
      <c r="A583" s="9"/>
      <c r="B583" s="10" t="s">
        <v>689</v>
      </c>
      <c r="C583" s="21"/>
      <c r="D583" s="10"/>
      <c r="E583" s="9" t="s">
        <v>10</v>
      </c>
      <c r="F583" s="9"/>
      <c r="G583" s="9" t="s">
        <v>688</v>
      </c>
      <c r="H583" s="11">
        <f>4.5*3.4</f>
        <v>15.299999999999999</v>
      </c>
      <c r="I583" s="18">
        <v>149000</v>
      </c>
      <c r="J583" s="85">
        <v>1</v>
      </c>
      <c r="K583" s="12">
        <f t="shared" si="98"/>
        <v>2279700</v>
      </c>
      <c r="L583" s="84"/>
      <c r="N583" s="8">
        <f t="shared" si="99"/>
        <v>149000</v>
      </c>
      <c r="O583" s="7"/>
    </row>
    <row r="584" spans="1:15" s="6" customFormat="1" x14ac:dyDescent="0.25">
      <c r="A584" s="9"/>
      <c r="B584" s="10" t="s">
        <v>54</v>
      </c>
      <c r="C584" s="21"/>
      <c r="D584" s="10"/>
      <c r="E584" s="9" t="s">
        <v>10</v>
      </c>
      <c r="F584" s="9"/>
      <c r="G584" s="9" t="s">
        <v>690</v>
      </c>
      <c r="H584" s="11">
        <f>30*1</f>
        <v>30</v>
      </c>
      <c r="I584" s="18">
        <v>425000</v>
      </c>
      <c r="J584" s="85">
        <v>1</v>
      </c>
      <c r="K584" s="12">
        <f t="shared" si="98"/>
        <v>12750000</v>
      </c>
      <c r="L584" s="84"/>
      <c r="N584" s="8">
        <f t="shared" si="99"/>
        <v>425000</v>
      </c>
      <c r="O584" s="7"/>
    </row>
    <row r="585" spans="1:15" s="6" customFormat="1" ht="47.25" x14ac:dyDescent="0.25">
      <c r="A585" s="9"/>
      <c r="B585" s="10" t="s">
        <v>691</v>
      </c>
      <c r="C585" s="21"/>
      <c r="D585" s="10"/>
      <c r="E585" s="9" t="s">
        <v>10</v>
      </c>
      <c r="F585" s="9"/>
      <c r="G585" s="9" t="s">
        <v>692</v>
      </c>
      <c r="H585" s="11">
        <f>3.1*2.5</f>
        <v>7.75</v>
      </c>
      <c r="I585" s="18">
        <v>1565000</v>
      </c>
      <c r="J585" s="85">
        <v>1</v>
      </c>
      <c r="K585" s="12">
        <f t="shared" si="98"/>
        <v>12128750</v>
      </c>
      <c r="L585" s="84"/>
      <c r="N585" s="8">
        <f t="shared" si="99"/>
        <v>1565000</v>
      </c>
      <c r="O585" s="7"/>
    </row>
    <row r="586" spans="1:15" s="6" customFormat="1" x14ac:dyDescent="0.25">
      <c r="A586" s="9"/>
      <c r="B586" s="10" t="s">
        <v>452</v>
      </c>
      <c r="C586" s="21"/>
      <c r="D586" s="10"/>
      <c r="E586" s="9" t="s">
        <v>16</v>
      </c>
      <c r="F586" s="9"/>
      <c r="G586" s="9"/>
      <c r="H586" s="11">
        <v>1</v>
      </c>
      <c r="I586" s="18">
        <v>143000</v>
      </c>
      <c r="J586" s="85">
        <v>1</v>
      </c>
      <c r="K586" s="12">
        <f t="shared" si="98"/>
        <v>143000</v>
      </c>
      <c r="L586" s="84"/>
      <c r="N586" s="8">
        <f t="shared" si="99"/>
        <v>143000</v>
      </c>
      <c r="O586" s="7"/>
    </row>
    <row r="587" spans="1:15" s="6" customFormat="1" x14ac:dyDescent="0.25">
      <c r="A587" s="9"/>
      <c r="B587" s="10" t="s">
        <v>693</v>
      </c>
      <c r="C587" s="21"/>
      <c r="D587" s="10"/>
      <c r="E587" s="9" t="s">
        <v>451</v>
      </c>
      <c r="F587" s="9"/>
      <c r="G587" s="9"/>
      <c r="H587" s="11">
        <v>1</v>
      </c>
      <c r="I587" s="18">
        <v>450000</v>
      </c>
      <c r="J587" s="85">
        <v>1</v>
      </c>
      <c r="K587" s="12">
        <f t="shared" si="98"/>
        <v>450000</v>
      </c>
      <c r="L587" s="84"/>
      <c r="N587" s="19">
        <v>450000</v>
      </c>
      <c r="O587" s="7"/>
    </row>
    <row r="588" spans="1:15" s="6" customFormat="1" x14ac:dyDescent="0.25">
      <c r="A588" s="9"/>
      <c r="B588" s="98" t="s">
        <v>13</v>
      </c>
      <c r="C588" s="9"/>
      <c r="D588" s="98"/>
      <c r="E588" s="9" t="s">
        <v>16</v>
      </c>
      <c r="F588" s="9"/>
      <c r="G588" s="9"/>
      <c r="H588" s="11">
        <v>1</v>
      </c>
      <c r="I588" s="18">
        <v>350000</v>
      </c>
      <c r="J588" s="85">
        <v>1</v>
      </c>
      <c r="K588" s="12">
        <f t="shared" si="98"/>
        <v>350000</v>
      </c>
      <c r="L588" s="84"/>
      <c r="N588" s="8">
        <f>+I588</f>
        <v>350000</v>
      </c>
      <c r="O588" s="7"/>
    </row>
    <row r="589" spans="1:15" s="6" customFormat="1" x14ac:dyDescent="0.25">
      <c r="A589" s="9"/>
      <c r="B589" s="98" t="s">
        <v>694</v>
      </c>
      <c r="C589" s="9"/>
      <c r="D589" s="98"/>
      <c r="E589" s="9" t="s">
        <v>15</v>
      </c>
      <c r="F589" s="21"/>
      <c r="G589" s="9" t="s">
        <v>695</v>
      </c>
      <c r="H589" s="24">
        <f>2*(3.1+2.5)*0.22*1.8</f>
        <v>4.4352</v>
      </c>
      <c r="I589" s="18">
        <v>1521000</v>
      </c>
      <c r="J589" s="85">
        <v>1</v>
      </c>
      <c r="K589" s="12">
        <f t="shared" si="98"/>
        <v>6745939.2000000002</v>
      </c>
      <c r="L589" s="84"/>
      <c r="N589" s="8">
        <f>+I589</f>
        <v>1521000</v>
      </c>
      <c r="O589" s="7"/>
    </row>
    <row r="590" spans="1:15" s="6" customFormat="1" x14ac:dyDescent="0.25">
      <c r="A590" s="9"/>
      <c r="B590" s="10" t="s">
        <v>696</v>
      </c>
      <c r="C590" s="21"/>
      <c r="D590" s="10"/>
      <c r="E590" s="9" t="s">
        <v>15</v>
      </c>
      <c r="F590" s="9" t="s">
        <v>43</v>
      </c>
      <c r="G590" s="9" t="s">
        <v>697</v>
      </c>
      <c r="H590" s="11">
        <f>(3.1*2.5*0.1)*2</f>
        <v>1.55</v>
      </c>
      <c r="I590" s="18">
        <v>3341000</v>
      </c>
      <c r="J590" s="85">
        <v>1</v>
      </c>
      <c r="K590" s="12">
        <f t="shared" si="98"/>
        <v>5178550</v>
      </c>
      <c r="L590" s="84"/>
      <c r="N590" s="8">
        <f>+I590</f>
        <v>3341000</v>
      </c>
      <c r="O590" s="7" t="s">
        <v>804</v>
      </c>
    </row>
    <row r="591" spans="1:15" s="6" customFormat="1" x14ac:dyDescent="0.25">
      <c r="A591" s="9"/>
      <c r="B591" s="10" t="s">
        <v>170</v>
      </c>
      <c r="C591" s="21"/>
      <c r="D591" s="10"/>
      <c r="E591" s="121" t="s">
        <v>14</v>
      </c>
      <c r="F591" s="121" t="s">
        <v>698</v>
      </c>
      <c r="G591" s="121" t="s">
        <v>46</v>
      </c>
      <c r="H591" s="11">
        <v>50</v>
      </c>
      <c r="I591" s="18">
        <v>136000</v>
      </c>
      <c r="J591" s="85">
        <v>1</v>
      </c>
      <c r="K591" s="12">
        <f t="shared" si="98"/>
        <v>6800000</v>
      </c>
      <c r="L591" s="84"/>
      <c r="N591" s="8">
        <f t="shared" ref="N591:N600" si="100">+I591</f>
        <v>136000</v>
      </c>
      <c r="O591" s="7"/>
    </row>
    <row r="592" spans="1:15" s="6" customFormat="1" x14ac:dyDescent="0.25">
      <c r="A592" s="9"/>
      <c r="B592" s="10" t="s">
        <v>64</v>
      </c>
      <c r="C592" s="21"/>
      <c r="D592" s="10"/>
      <c r="E592" s="121"/>
      <c r="F592" s="121"/>
      <c r="G592" s="121"/>
      <c r="H592" s="11">
        <v>23</v>
      </c>
      <c r="I592" s="18">
        <v>245000</v>
      </c>
      <c r="J592" s="85">
        <v>1</v>
      </c>
      <c r="K592" s="12">
        <f t="shared" si="98"/>
        <v>5635000</v>
      </c>
      <c r="L592" s="84"/>
      <c r="N592" s="8">
        <f t="shared" si="100"/>
        <v>245000</v>
      </c>
      <c r="O592" s="7"/>
    </row>
    <row r="593" spans="1:15" s="6" customFormat="1" ht="49.5" x14ac:dyDescent="0.25">
      <c r="A593" s="93"/>
      <c r="B593" s="94" t="s">
        <v>207</v>
      </c>
      <c r="C593" s="93"/>
      <c r="D593" s="93"/>
      <c r="E593" s="93" t="s">
        <v>15</v>
      </c>
      <c r="F593" s="95" t="s">
        <v>208</v>
      </c>
      <c r="G593" s="95" t="s">
        <v>209</v>
      </c>
      <c r="H593" s="96">
        <f>0.5*0.5*3.14*8</f>
        <v>6.28</v>
      </c>
      <c r="I593" s="97">
        <f>236000</f>
        <v>236000</v>
      </c>
      <c r="J593" s="85">
        <v>1</v>
      </c>
      <c r="K593" s="97">
        <f t="shared" si="98"/>
        <v>1482080</v>
      </c>
      <c r="L593" s="84"/>
      <c r="N593" s="8">
        <f t="shared" si="100"/>
        <v>236000</v>
      </c>
      <c r="O593" s="7"/>
    </row>
    <row r="594" spans="1:15" s="6" customFormat="1" ht="49.5" x14ac:dyDescent="0.25">
      <c r="A594" s="93"/>
      <c r="B594" s="94" t="s">
        <v>210</v>
      </c>
      <c r="C594" s="93"/>
      <c r="D594" s="93"/>
      <c r="E594" s="93" t="s">
        <v>15</v>
      </c>
      <c r="F594" s="95" t="s">
        <v>208</v>
      </c>
      <c r="G594" s="95" t="s">
        <v>211</v>
      </c>
      <c r="H594" s="96">
        <f>0.5*0.5*3.14*2</f>
        <v>1.57</v>
      </c>
      <c r="I594" s="97">
        <f>236000+30000</f>
        <v>266000</v>
      </c>
      <c r="J594" s="85">
        <v>1</v>
      </c>
      <c r="K594" s="97">
        <f t="shared" si="98"/>
        <v>417620</v>
      </c>
      <c r="L594" s="84"/>
      <c r="N594" s="8">
        <f t="shared" si="100"/>
        <v>266000</v>
      </c>
      <c r="O594" s="7"/>
    </row>
    <row r="595" spans="1:15" s="6" customFormat="1" ht="49.5" x14ac:dyDescent="0.25">
      <c r="A595" s="93"/>
      <c r="B595" s="94" t="s">
        <v>212</v>
      </c>
      <c r="C595" s="93"/>
      <c r="D595" s="93"/>
      <c r="E595" s="93" t="s">
        <v>15</v>
      </c>
      <c r="F595" s="95" t="s">
        <v>208</v>
      </c>
      <c r="G595" s="95" t="s">
        <v>213</v>
      </c>
      <c r="H595" s="96">
        <f>0.5*0.5*3.14*1</f>
        <v>0.78500000000000003</v>
      </c>
      <c r="I595" s="97">
        <f>236000+50000</f>
        <v>286000</v>
      </c>
      <c r="J595" s="85">
        <v>1</v>
      </c>
      <c r="K595" s="97">
        <f t="shared" si="98"/>
        <v>224510</v>
      </c>
      <c r="L595" s="84"/>
      <c r="N595" s="8">
        <f t="shared" si="100"/>
        <v>286000</v>
      </c>
      <c r="O595" s="7"/>
    </row>
    <row r="596" spans="1:15" s="6" customFormat="1" ht="33" x14ac:dyDescent="0.25">
      <c r="A596" s="93"/>
      <c r="B596" s="94" t="s">
        <v>59</v>
      </c>
      <c r="C596" s="93"/>
      <c r="D596" s="93"/>
      <c r="E596" s="93" t="s">
        <v>15</v>
      </c>
      <c r="F596" s="93"/>
      <c r="G596" s="95" t="s">
        <v>214</v>
      </c>
      <c r="H596" s="96">
        <f>0.5*0.5*3.14*11-0.3*0.3*3.14*11</f>
        <v>5.5263999999999998</v>
      </c>
      <c r="I596" s="97">
        <v>1186000</v>
      </c>
      <c r="J596" s="85">
        <v>1</v>
      </c>
      <c r="K596" s="97">
        <f t="shared" si="98"/>
        <v>6554310.3999999994</v>
      </c>
      <c r="L596" s="84"/>
      <c r="N596" s="8">
        <f t="shared" si="100"/>
        <v>1186000</v>
      </c>
      <c r="O596" s="7"/>
    </row>
    <row r="597" spans="1:15" s="6" customFormat="1" x14ac:dyDescent="0.25">
      <c r="A597" s="9"/>
      <c r="B597" s="98" t="s">
        <v>699</v>
      </c>
      <c r="C597" s="9"/>
      <c r="D597" s="98"/>
      <c r="E597" s="9" t="s">
        <v>10</v>
      </c>
      <c r="F597" s="9"/>
      <c r="G597" s="9" t="s">
        <v>700</v>
      </c>
      <c r="H597" s="11">
        <f>9.1*1+3*1</f>
        <v>12.1</v>
      </c>
      <c r="I597" s="18">
        <v>155000</v>
      </c>
      <c r="J597" s="85">
        <v>1</v>
      </c>
      <c r="K597" s="12">
        <f t="shared" si="98"/>
        <v>1875500</v>
      </c>
      <c r="L597" s="84"/>
      <c r="N597" s="8">
        <f t="shared" si="100"/>
        <v>155000</v>
      </c>
      <c r="O597" s="7"/>
    </row>
    <row r="598" spans="1:15" s="6" customFormat="1" ht="31.5" x14ac:dyDescent="0.25">
      <c r="A598" s="9"/>
      <c r="B598" s="10" t="s">
        <v>701</v>
      </c>
      <c r="C598" s="21"/>
      <c r="D598" s="10"/>
      <c r="E598" s="9" t="s">
        <v>10</v>
      </c>
      <c r="F598" s="9"/>
      <c r="G598" s="9" t="s">
        <v>702</v>
      </c>
      <c r="H598" s="11">
        <f>6.7*3.5</f>
        <v>23.45</v>
      </c>
      <c r="I598" s="18">
        <v>508000</v>
      </c>
      <c r="J598" s="85">
        <v>1</v>
      </c>
      <c r="K598" s="12">
        <f t="shared" si="98"/>
        <v>11912600</v>
      </c>
      <c r="L598" s="84"/>
      <c r="N598" s="8">
        <f t="shared" si="100"/>
        <v>508000</v>
      </c>
      <c r="O598" s="7"/>
    </row>
    <row r="599" spans="1:15" s="6" customFormat="1" x14ac:dyDescent="0.25">
      <c r="A599" s="9"/>
      <c r="B599" s="10" t="s">
        <v>53</v>
      </c>
      <c r="C599" s="21"/>
      <c r="D599" s="10"/>
      <c r="E599" s="9" t="s">
        <v>15</v>
      </c>
      <c r="F599" s="9" t="s">
        <v>50</v>
      </c>
      <c r="G599" s="9" t="s">
        <v>703</v>
      </c>
      <c r="H599" s="11">
        <f>4*3.9*0.1</f>
        <v>1.56</v>
      </c>
      <c r="I599" s="18">
        <v>763000</v>
      </c>
      <c r="J599" s="85">
        <v>1</v>
      </c>
      <c r="K599" s="12">
        <f t="shared" si="98"/>
        <v>1190280</v>
      </c>
      <c r="L599" s="84"/>
      <c r="N599" s="8">
        <f t="shared" si="100"/>
        <v>763000</v>
      </c>
      <c r="O599" s="7" t="s">
        <v>804</v>
      </c>
    </row>
    <row r="600" spans="1:15" s="6" customFormat="1" x14ac:dyDescent="0.25">
      <c r="A600" s="9"/>
      <c r="B600" s="10" t="s">
        <v>704</v>
      </c>
      <c r="C600" s="21"/>
      <c r="D600" s="10"/>
      <c r="E600" s="9" t="s">
        <v>15</v>
      </c>
      <c r="F600" s="21"/>
      <c r="G600" s="9" t="s">
        <v>705</v>
      </c>
      <c r="H600" s="11">
        <f>2*(3+1.5)*1.5*0.22</f>
        <v>2.97</v>
      </c>
      <c r="I600" s="18">
        <v>1714000</v>
      </c>
      <c r="J600" s="85">
        <v>1</v>
      </c>
      <c r="K600" s="12">
        <f t="shared" si="98"/>
        <v>5090580</v>
      </c>
      <c r="L600" s="84"/>
      <c r="N600" s="8">
        <f t="shared" si="100"/>
        <v>1714000</v>
      </c>
      <c r="O600" s="7"/>
    </row>
    <row r="601" spans="1:15" s="6" customFormat="1" x14ac:dyDescent="0.25">
      <c r="A601" s="9"/>
      <c r="B601" s="10" t="s">
        <v>706</v>
      </c>
      <c r="C601" s="21"/>
      <c r="D601" s="10"/>
      <c r="E601" s="9" t="s">
        <v>15</v>
      </c>
      <c r="F601" s="9" t="s">
        <v>43</v>
      </c>
      <c r="G601" s="9" t="s">
        <v>707</v>
      </c>
      <c r="H601" s="11">
        <f>(3*1.5*0.1)*2</f>
        <v>0.9</v>
      </c>
      <c r="I601" s="18">
        <v>3341000</v>
      </c>
      <c r="J601" s="85">
        <v>1</v>
      </c>
      <c r="K601" s="12">
        <f t="shared" si="98"/>
        <v>3006900</v>
      </c>
      <c r="L601" s="84"/>
      <c r="N601" s="8">
        <f>+I601</f>
        <v>3341000</v>
      </c>
      <c r="O601" s="7" t="s">
        <v>804</v>
      </c>
    </row>
    <row r="602" spans="1:15" s="6" customFormat="1" x14ac:dyDescent="0.25">
      <c r="A602" s="9"/>
      <c r="B602" s="10" t="s">
        <v>505</v>
      </c>
      <c r="C602" s="21"/>
      <c r="D602" s="10"/>
      <c r="E602" s="9" t="s">
        <v>10</v>
      </c>
      <c r="F602" s="9"/>
      <c r="G602" s="9" t="s">
        <v>80</v>
      </c>
      <c r="H602" s="11">
        <f>3.1*2.3</f>
        <v>7.13</v>
      </c>
      <c r="I602" s="18">
        <v>77000</v>
      </c>
      <c r="J602" s="85">
        <v>1</v>
      </c>
      <c r="K602" s="12">
        <f t="shared" si="98"/>
        <v>549010</v>
      </c>
      <c r="L602" s="84"/>
      <c r="N602" s="8">
        <f t="shared" ref="N602:N609" si="101">+I602</f>
        <v>77000</v>
      </c>
      <c r="O602" s="7"/>
    </row>
    <row r="603" spans="1:15" s="6" customFormat="1" x14ac:dyDescent="0.25">
      <c r="A603" s="9"/>
      <c r="B603" s="10" t="s">
        <v>708</v>
      </c>
      <c r="C603" s="21"/>
      <c r="D603" s="10"/>
      <c r="E603" s="9" t="s">
        <v>10</v>
      </c>
      <c r="F603" s="9"/>
      <c r="G603" s="9" t="s">
        <v>709</v>
      </c>
      <c r="H603" s="11">
        <f>2.3*1.2+6.7*1.2</f>
        <v>10.799999999999999</v>
      </c>
      <c r="I603" s="18">
        <v>227000</v>
      </c>
      <c r="J603" s="85">
        <v>1</v>
      </c>
      <c r="K603" s="12">
        <f t="shared" si="98"/>
        <v>2451599.9999999995</v>
      </c>
      <c r="L603" s="84"/>
      <c r="N603" s="8">
        <f t="shared" si="101"/>
        <v>227000</v>
      </c>
      <c r="O603" s="7"/>
    </row>
    <row r="604" spans="1:15" s="6" customFormat="1" x14ac:dyDescent="0.25">
      <c r="A604" s="9"/>
      <c r="B604" s="10" t="s">
        <v>795</v>
      </c>
      <c r="C604" s="21"/>
      <c r="D604" s="10"/>
      <c r="E604" s="9" t="s">
        <v>15</v>
      </c>
      <c r="F604" s="9"/>
      <c r="G604" s="9" t="s">
        <v>796</v>
      </c>
      <c r="H604" s="24">
        <f>35.4*2.5*0.45</f>
        <v>39.825000000000003</v>
      </c>
      <c r="I604" s="18">
        <v>345000</v>
      </c>
      <c r="J604" s="85">
        <v>1</v>
      </c>
      <c r="K604" s="12">
        <f t="shared" si="98"/>
        <v>13739625.000000002</v>
      </c>
      <c r="L604" s="84"/>
      <c r="N604" s="8">
        <f t="shared" si="101"/>
        <v>345000</v>
      </c>
      <c r="O604" s="7"/>
    </row>
    <row r="605" spans="1:15" s="6" customFormat="1" ht="31.5" x14ac:dyDescent="0.25">
      <c r="A605" s="9"/>
      <c r="B605" s="10" t="s">
        <v>710</v>
      </c>
      <c r="C605" s="21"/>
      <c r="D605" s="10"/>
      <c r="E605" s="9" t="s">
        <v>14</v>
      </c>
      <c r="F605" s="9"/>
      <c r="G605" s="9" t="s">
        <v>711</v>
      </c>
      <c r="H605" s="11">
        <f>25*2</f>
        <v>50</v>
      </c>
      <c r="I605" s="18">
        <v>46000</v>
      </c>
      <c r="J605" s="85">
        <v>1</v>
      </c>
      <c r="K605" s="12">
        <f t="shared" si="98"/>
        <v>2300000</v>
      </c>
      <c r="L605" s="84"/>
      <c r="N605" s="8">
        <f t="shared" si="101"/>
        <v>46000</v>
      </c>
      <c r="O605" s="7"/>
    </row>
    <row r="606" spans="1:15" s="6" customFormat="1" ht="31.5" x14ac:dyDescent="0.25">
      <c r="A606" s="9"/>
      <c r="B606" s="10" t="s">
        <v>712</v>
      </c>
      <c r="C606" s="21"/>
      <c r="D606" s="10"/>
      <c r="E606" s="9" t="s">
        <v>14</v>
      </c>
      <c r="F606" s="9"/>
      <c r="G606" s="9"/>
      <c r="H606" s="11">
        <v>10</v>
      </c>
      <c r="I606" s="18">
        <v>6000</v>
      </c>
      <c r="J606" s="85">
        <v>1</v>
      </c>
      <c r="K606" s="12">
        <f t="shared" si="98"/>
        <v>60000</v>
      </c>
      <c r="L606" s="84"/>
      <c r="N606" s="8">
        <f t="shared" si="101"/>
        <v>6000</v>
      </c>
      <c r="O606" s="7" t="s">
        <v>804</v>
      </c>
    </row>
    <row r="607" spans="1:15" s="6" customFormat="1" ht="31.5" x14ac:dyDescent="0.25">
      <c r="A607" s="9"/>
      <c r="B607" s="10" t="s">
        <v>713</v>
      </c>
      <c r="C607" s="21"/>
      <c r="D607" s="10"/>
      <c r="E607" s="9" t="s">
        <v>10</v>
      </c>
      <c r="F607" s="9"/>
      <c r="G607" s="9" t="s">
        <v>714</v>
      </c>
      <c r="H607" s="11">
        <f>10.3*6</f>
        <v>61.800000000000004</v>
      </c>
      <c r="I607" s="18">
        <v>136000</v>
      </c>
      <c r="J607" s="85">
        <v>1</v>
      </c>
      <c r="K607" s="12">
        <f t="shared" si="98"/>
        <v>8404800</v>
      </c>
      <c r="L607" s="84"/>
      <c r="N607" s="8">
        <f t="shared" si="101"/>
        <v>136000</v>
      </c>
      <c r="O607" s="7"/>
    </row>
    <row r="608" spans="1:15" s="6" customFormat="1" x14ac:dyDescent="0.25">
      <c r="A608" s="9"/>
      <c r="B608" s="10" t="s">
        <v>53</v>
      </c>
      <c r="C608" s="21"/>
      <c r="D608" s="10"/>
      <c r="E608" s="9" t="s">
        <v>15</v>
      </c>
      <c r="F608" s="9" t="s">
        <v>50</v>
      </c>
      <c r="G608" s="9" t="s">
        <v>715</v>
      </c>
      <c r="H608" s="11">
        <f>7*3.4*0.1</f>
        <v>2.3800000000000003</v>
      </c>
      <c r="I608" s="18">
        <v>763000</v>
      </c>
      <c r="J608" s="85">
        <v>1</v>
      </c>
      <c r="K608" s="12">
        <f t="shared" si="98"/>
        <v>1815940.0000000002</v>
      </c>
      <c r="L608" s="84"/>
      <c r="N608" s="8">
        <f t="shared" si="101"/>
        <v>763000</v>
      </c>
      <c r="O608" s="7" t="s">
        <v>804</v>
      </c>
    </row>
    <row r="609" spans="1:15" s="6" customFormat="1" x14ac:dyDescent="0.25">
      <c r="A609" s="9"/>
      <c r="B609" s="10" t="s">
        <v>716</v>
      </c>
      <c r="C609" s="21"/>
      <c r="D609" s="10"/>
      <c r="E609" s="9" t="s">
        <v>15</v>
      </c>
      <c r="F609" s="9"/>
      <c r="G609" s="9" t="s">
        <v>717</v>
      </c>
      <c r="H609" s="11">
        <f>0.2*0.2*2.5*2</f>
        <v>0.20000000000000004</v>
      </c>
      <c r="I609" s="18">
        <v>1145000</v>
      </c>
      <c r="J609" s="85">
        <v>1</v>
      </c>
      <c r="K609" s="12">
        <f t="shared" si="98"/>
        <v>229000.00000000006</v>
      </c>
      <c r="L609" s="84"/>
      <c r="N609" s="8">
        <f t="shared" si="101"/>
        <v>1145000</v>
      </c>
      <c r="O609" s="7"/>
    </row>
    <row r="610" spans="1:15" s="6" customFormat="1" ht="31.5" x14ac:dyDescent="0.25">
      <c r="A610" s="9"/>
      <c r="B610" s="10" t="s">
        <v>51</v>
      </c>
      <c r="C610" s="21"/>
      <c r="D610" s="10"/>
      <c r="E610" s="9" t="s">
        <v>15</v>
      </c>
      <c r="F610" s="9" t="s">
        <v>43</v>
      </c>
      <c r="G610" s="21" t="s">
        <v>718</v>
      </c>
      <c r="H610" s="88">
        <f>0.4*0.4*2.5*2-0.2*0.2*2.5*2</f>
        <v>0.60000000000000009</v>
      </c>
      <c r="I610" s="18">
        <v>4282000</v>
      </c>
      <c r="J610" s="85">
        <v>1</v>
      </c>
      <c r="K610" s="12">
        <f t="shared" si="98"/>
        <v>2569200.0000000005</v>
      </c>
      <c r="L610" s="84"/>
      <c r="N610" s="8">
        <f>+I610</f>
        <v>4282000</v>
      </c>
      <c r="O610" s="7" t="s">
        <v>804</v>
      </c>
    </row>
    <row r="611" spans="1:15" s="6" customFormat="1" x14ac:dyDescent="0.25">
      <c r="A611" s="9"/>
      <c r="B611" s="10" t="s">
        <v>719</v>
      </c>
      <c r="C611" s="21"/>
      <c r="D611" s="10"/>
      <c r="E611" s="9" t="s">
        <v>10</v>
      </c>
      <c r="F611" s="9"/>
      <c r="G611" s="9" t="s">
        <v>720</v>
      </c>
      <c r="H611" s="11">
        <f>1.8*2.2</f>
        <v>3.9600000000000004</v>
      </c>
      <c r="I611" s="18">
        <v>459000</v>
      </c>
      <c r="J611" s="85">
        <v>1</v>
      </c>
      <c r="K611" s="12">
        <f t="shared" si="98"/>
        <v>1817640.0000000002</v>
      </c>
      <c r="L611" s="84"/>
      <c r="N611" s="8">
        <f t="shared" ref="N611:N629" si="102">+I611</f>
        <v>459000</v>
      </c>
      <c r="O611" s="7"/>
    </row>
    <row r="612" spans="1:15" s="6" customFormat="1" x14ac:dyDescent="0.25">
      <c r="A612" s="9"/>
      <c r="B612" s="10" t="s">
        <v>721</v>
      </c>
      <c r="C612" s="21"/>
      <c r="D612" s="10"/>
      <c r="E612" s="9" t="s">
        <v>10</v>
      </c>
      <c r="F612" s="9"/>
      <c r="G612" s="9" t="s">
        <v>722</v>
      </c>
      <c r="H612" s="11">
        <f>3*0.8+1.5*2.5</f>
        <v>6.15</v>
      </c>
      <c r="I612" s="18">
        <v>425000</v>
      </c>
      <c r="J612" s="85">
        <v>1</v>
      </c>
      <c r="K612" s="12">
        <f t="shared" si="98"/>
        <v>2613750</v>
      </c>
      <c r="L612" s="84"/>
      <c r="N612" s="8">
        <f t="shared" si="102"/>
        <v>425000</v>
      </c>
      <c r="O612" s="7"/>
    </row>
    <row r="613" spans="1:15" s="6" customFormat="1" x14ac:dyDescent="0.25">
      <c r="A613" s="9"/>
      <c r="B613" s="10" t="s">
        <v>150</v>
      </c>
      <c r="C613" s="21"/>
      <c r="D613" s="10"/>
      <c r="E613" s="9" t="s">
        <v>10</v>
      </c>
      <c r="F613" s="9"/>
      <c r="G613" s="9" t="s">
        <v>723</v>
      </c>
      <c r="H613" s="11">
        <f>2*1.8</f>
        <v>3.6</v>
      </c>
      <c r="I613" s="18">
        <v>162000</v>
      </c>
      <c r="J613" s="85">
        <v>1</v>
      </c>
      <c r="K613" s="12">
        <f t="shared" si="98"/>
        <v>583200</v>
      </c>
      <c r="L613" s="84"/>
      <c r="N613" s="8">
        <f t="shared" si="102"/>
        <v>162000</v>
      </c>
      <c r="O613" s="7"/>
    </row>
    <row r="614" spans="1:15" s="6" customFormat="1" x14ac:dyDescent="0.25">
      <c r="A614" s="9"/>
      <c r="B614" s="10" t="s">
        <v>53</v>
      </c>
      <c r="C614" s="21"/>
      <c r="D614" s="10"/>
      <c r="E614" s="9" t="s">
        <v>15</v>
      </c>
      <c r="F614" s="9" t="s">
        <v>50</v>
      </c>
      <c r="G614" s="9" t="s">
        <v>724</v>
      </c>
      <c r="H614" s="11">
        <f>18*1*0.1</f>
        <v>1.8</v>
      </c>
      <c r="I614" s="18">
        <v>763000</v>
      </c>
      <c r="J614" s="85">
        <v>1</v>
      </c>
      <c r="K614" s="12">
        <f t="shared" si="98"/>
        <v>1373400</v>
      </c>
      <c r="L614" s="84"/>
      <c r="N614" s="8">
        <f t="shared" si="102"/>
        <v>763000</v>
      </c>
      <c r="O614" s="7" t="s">
        <v>804</v>
      </c>
    </row>
    <row r="615" spans="1:15" s="167" customFormat="1" x14ac:dyDescent="0.25">
      <c r="A615" s="161"/>
      <c r="B615" s="172" t="s">
        <v>725</v>
      </c>
      <c r="C615" s="173"/>
      <c r="D615" s="172"/>
      <c r="E615" s="161" t="s">
        <v>31</v>
      </c>
      <c r="F615" s="161" t="s">
        <v>19</v>
      </c>
      <c r="G615" s="161"/>
      <c r="H615" s="163">
        <v>2</v>
      </c>
      <c r="I615" s="164">
        <v>36000</v>
      </c>
      <c r="J615" s="165">
        <v>1</v>
      </c>
      <c r="K615" s="171">
        <f t="shared" si="98"/>
        <v>72000</v>
      </c>
      <c r="L615" s="166"/>
      <c r="N615" s="168">
        <f t="shared" si="102"/>
        <v>36000</v>
      </c>
      <c r="O615" s="169"/>
    </row>
    <row r="616" spans="1:15" s="167" customFormat="1" x14ac:dyDescent="0.25">
      <c r="A616" s="161"/>
      <c r="B616" s="172" t="s">
        <v>726</v>
      </c>
      <c r="C616" s="173"/>
      <c r="D616" s="172"/>
      <c r="E616" s="161" t="s">
        <v>31</v>
      </c>
      <c r="F616" s="161" t="s">
        <v>35</v>
      </c>
      <c r="G616" s="161"/>
      <c r="H616" s="163">
        <v>1</v>
      </c>
      <c r="I616" s="164">
        <v>320000</v>
      </c>
      <c r="J616" s="165">
        <v>1</v>
      </c>
      <c r="K616" s="171">
        <f t="shared" si="98"/>
        <v>320000</v>
      </c>
      <c r="L616" s="166"/>
      <c r="N616" s="168">
        <f t="shared" si="102"/>
        <v>320000</v>
      </c>
      <c r="O616" s="169"/>
    </row>
    <row r="617" spans="1:15" s="167" customFormat="1" x14ac:dyDescent="0.25">
      <c r="A617" s="161"/>
      <c r="B617" s="172" t="s">
        <v>309</v>
      </c>
      <c r="C617" s="173"/>
      <c r="D617" s="172"/>
      <c r="E617" s="161" t="s">
        <v>31</v>
      </c>
      <c r="F617" s="161" t="s">
        <v>27</v>
      </c>
      <c r="G617" s="161"/>
      <c r="H617" s="163">
        <v>1</v>
      </c>
      <c r="I617" s="164">
        <v>120000</v>
      </c>
      <c r="J617" s="165">
        <v>1</v>
      </c>
      <c r="K617" s="171">
        <f t="shared" si="98"/>
        <v>120000</v>
      </c>
      <c r="L617" s="166"/>
      <c r="N617" s="168">
        <f t="shared" si="102"/>
        <v>120000</v>
      </c>
      <c r="O617" s="169"/>
    </row>
    <row r="618" spans="1:15" s="167" customFormat="1" x14ac:dyDescent="0.25">
      <c r="A618" s="161"/>
      <c r="B618" s="172" t="s">
        <v>727</v>
      </c>
      <c r="C618" s="173"/>
      <c r="D618" s="172"/>
      <c r="E618" s="161" t="s">
        <v>728</v>
      </c>
      <c r="F618" s="161"/>
      <c r="G618" s="161"/>
      <c r="H618" s="163">
        <v>2</v>
      </c>
      <c r="I618" s="164">
        <v>7000</v>
      </c>
      <c r="J618" s="165">
        <v>1</v>
      </c>
      <c r="K618" s="171">
        <f t="shared" si="98"/>
        <v>14000</v>
      </c>
      <c r="L618" s="166"/>
      <c r="N618" s="168">
        <f t="shared" si="102"/>
        <v>7000</v>
      </c>
      <c r="O618" s="169"/>
    </row>
    <row r="619" spans="1:15" s="167" customFormat="1" x14ac:dyDescent="0.25">
      <c r="A619" s="161"/>
      <c r="B619" s="172" t="s">
        <v>729</v>
      </c>
      <c r="C619" s="173"/>
      <c r="D619" s="172"/>
      <c r="E619" s="161" t="s">
        <v>31</v>
      </c>
      <c r="F619" s="161" t="s">
        <v>19</v>
      </c>
      <c r="G619" s="161"/>
      <c r="H619" s="163">
        <v>1</v>
      </c>
      <c r="I619" s="164">
        <v>44000</v>
      </c>
      <c r="J619" s="165">
        <v>1</v>
      </c>
      <c r="K619" s="171">
        <f t="shared" si="98"/>
        <v>44000</v>
      </c>
      <c r="L619" s="166"/>
      <c r="N619" s="168">
        <f t="shared" si="102"/>
        <v>44000</v>
      </c>
      <c r="O619" s="169"/>
    </row>
    <row r="620" spans="1:15" s="167" customFormat="1" x14ac:dyDescent="0.25">
      <c r="A620" s="161"/>
      <c r="B620" s="172" t="s">
        <v>730</v>
      </c>
      <c r="C620" s="173"/>
      <c r="D620" s="172"/>
      <c r="E620" s="161" t="s">
        <v>10</v>
      </c>
      <c r="F620" s="161" t="s">
        <v>19</v>
      </c>
      <c r="G620" s="161" t="s">
        <v>731</v>
      </c>
      <c r="H620" s="163">
        <f>10*3+8*6</f>
        <v>78</v>
      </c>
      <c r="I620" s="164">
        <v>11000</v>
      </c>
      <c r="J620" s="165">
        <v>1</v>
      </c>
      <c r="K620" s="171">
        <f t="shared" si="98"/>
        <v>858000</v>
      </c>
      <c r="L620" s="166"/>
      <c r="N620" s="168">
        <f t="shared" si="102"/>
        <v>11000</v>
      </c>
      <c r="O620" s="169"/>
    </row>
    <row r="621" spans="1:15" s="167" customFormat="1" x14ac:dyDescent="0.25">
      <c r="A621" s="161"/>
      <c r="B621" s="172" t="s">
        <v>807</v>
      </c>
      <c r="C621" s="173"/>
      <c r="D621" s="172"/>
      <c r="E621" s="161" t="s">
        <v>10</v>
      </c>
      <c r="F621" s="161"/>
      <c r="G621" s="161"/>
      <c r="H621" s="163">
        <v>3</v>
      </c>
      <c r="I621" s="164">
        <v>38000</v>
      </c>
      <c r="J621" s="165">
        <v>1</v>
      </c>
      <c r="K621" s="171">
        <f t="shared" si="98"/>
        <v>114000</v>
      </c>
      <c r="L621" s="166"/>
      <c r="N621" s="168">
        <f t="shared" si="102"/>
        <v>38000</v>
      </c>
      <c r="O621" s="169"/>
    </row>
    <row r="622" spans="1:15" s="167" customFormat="1" x14ac:dyDescent="0.25">
      <c r="A622" s="161"/>
      <c r="B622" s="172" t="s">
        <v>732</v>
      </c>
      <c r="C622" s="173"/>
      <c r="D622" s="172"/>
      <c r="E622" s="161" t="s">
        <v>31</v>
      </c>
      <c r="F622" s="161" t="s">
        <v>19</v>
      </c>
      <c r="G622" s="161"/>
      <c r="H622" s="163">
        <v>1</v>
      </c>
      <c r="I622" s="164">
        <v>44000</v>
      </c>
      <c r="J622" s="165">
        <v>1</v>
      </c>
      <c r="K622" s="171">
        <f t="shared" si="98"/>
        <v>44000</v>
      </c>
      <c r="L622" s="166"/>
      <c r="N622" s="168">
        <f t="shared" si="102"/>
        <v>44000</v>
      </c>
      <c r="O622" s="169"/>
    </row>
    <row r="623" spans="1:15" s="167" customFormat="1" ht="47.25" x14ac:dyDescent="0.25">
      <c r="A623" s="161"/>
      <c r="B623" s="172" t="s">
        <v>733</v>
      </c>
      <c r="C623" s="173"/>
      <c r="D623" s="172"/>
      <c r="E623" s="161" t="s">
        <v>31</v>
      </c>
      <c r="F623" s="173" t="s">
        <v>734</v>
      </c>
      <c r="G623" s="161"/>
      <c r="H623" s="163">
        <v>1</v>
      </c>
      <c r="I623" s="164">
        <v>194000</v>
      </c>
      <c r="J623" s="165">
        <v>1</v>
      </c>
      <c r="K623" s="171">
        <f t="shared" si="98"/>
        <v>194000</v>
      </c>
      <c r="L623" s="166"/>
      <c r="N623" s="168">
        <f t="shared" si="102"/>
        <v>194000</v>
      </c>
      <c r="O623" s="169"/>
    </row>
    <row r="624" spans="1:15" s="167" customFormat="1" x14ac:dyDescent="0.25">
      <c r="A624" s="161"/>
      <c r="B624" s="172" t="s">
        <v>24</v>
      </c>
      <c r="C624" s="173"/>
      <c r="D624" s="172"/>
      <c r="E624" s="161" t="s">
        <v>31</v>
      </c>
      <c r="F624" s="161" t="s">
        <v>19</v>
      </c>
      <c r="G624" s="161"/>
      <c r="H624" s="163">
        <v>1</v>
      </c>
      <c r="I624" s="164">
        <v>12000</v>
      </c>
      <c r="J624" s="165">
        <v>1</v>
      </c>
      <c r="K624" s="171">
        <f t="shared" si="98"/>
        <v>12000</v>
      </c>
      <c r="L624" s="166"/>
      <c r="N624" s="168">
        <f t="shared" si="102"/>
        <v>12000</v>
      </c>
      <c r="O624" s="169"/>
    </row>
    <row r="625" spans="1:15" s="167" customFormat="1" x14ac:dyDescent="0.25">
      <c r="A625" s="161"/>
      <c r="B625" s="172" t="s">
        <v>735</v>
      </c>
      <c r="C625" s="173"/>
      <c r="D625" s="172"/>
      <c r="E625" s="161" t="s">
        <v>31</v>
      </c>
      <c r="F625" s="161" t="s">
        <v>19</v>
      </c>
      <c r="G625" s="161"/>
      <c r="H625" s="163">
        <v>1</v>
      </c>
      <c r="I625" s="164">
        <v>44000</v>
      </c>
      <c r="J625" s="165">
        <v>1</v>
      </c>
      <c r="K625" s="171">
        <f t="shared" si="98"/>
        <v>44000</v>
      </c>
      <c r="L625" s="166"/>
      <c r="N625" s="168">
        <f t="shared" si="102"/>
        <v>44000</v>
      </c>
      <c r="O625" s="169"/>
    </row>
    <row r="626" spans="1:15" s="167" customFormat="1" x14ac:dyDescent="0.25">
      <c r="A626" s="161"/>
      <c r="B626" s="172" t="s">
        <v>736</v>
      </c>
      <c r="C626" s="173"/>
      <c r="D626" s="172"/>
      <c r="E626" s="161" t="s">
        <v>31</v>
      </c>
      <c r="F626" s="161" t="s">
        <v>19</v>
      </c>
      <c r="G626" s="161"/>
      <c r="H626" s="163">
        <v>1</v>
      </c>
      <c r="I626" s="164">
        <v>45000</v>
      </c>
      <c r="J626" s="165">
        <v>1</v>
      </c>
      <c r="K626" s="171">
        <f t="shared" si="98"/>
        <v>45000</v>
      </c>
      <c r="L626" s="166"/>
      <c r="N626" s="168">
        <f t="shared" si="102"/>
        <v>45000</v>
      </c>
      <c r="O626" s="169"/>
    </row>
    <row r="627" spans="1:15" s="167" customFormat="1" x14ac:dyDescent="0.25">
      <c r="A627" s="161"/>
      <c r="B627" s="172" t="s">
        <v>737</v>
      </c>
      <c r="C627" s="173"/>
      <c r="D627" s="172"/>
      <c r="E627" s="161" t="s">
        <v>31</v>
      </c>
      <c r="F627" s="161" t="s">
        <v>738</v>
      </c>
      <c r="G627" s="161"/>
      <c r="H627" s="163">
        <v>2</v>
      </c>
      <c r="I627" s="164">
        <v>129000</v>
      </c>
      <c r="J627" s="165">
        <v>1</v>
      </c>
      <c r="K627" s="171">
        <f t="shared" si="98"/>
        <v>258000</v>
      </c>
      <c r="L627" s="166"/>
      <c r="N627" s="168">
        <f t="shared" si="102"/>
        <v>129000</v>
      </c>
      <c r="O627" s="169"/>
    </row>
    <row r="628" spans="1:15" s="167" customFormat="1" x14ac:dyDescent="0.25">
      <c r="A628" s="161"/>
      <c r="B628" s="172" t="s">
        <v>739</v>
      </c>
      <c r="C628" s="173"/>
      <c r="D628" s="172"/>
      <c r="E628" s="161" t="s">
        <v>31</v>
      </c>
      <c r="F628" s="161" t="s">
        <v>19</v>
      </c>
      <c r="G628" s="161"/>
      <c r="H628" s="163">
        <v>1</v>
      </c>
      <c r="I628" s="164">
        <v>44000</v>
      </c>
      <c r="J628" s="165">
        <v>1</v>
      </c>
      <c r="K628" s="171">
        <f t="shared" si="98"/>
        <v>44000</v>
      </c>
      <c r="L628" s="166"/>
      <c r="N628" s="168">
        <f t="shared" si="102"/>
        <v>44000</v>
      </c>
      <c r="O628" s="169"/>
    </row>
    <row r="629" spans="1:15" s="167" customFormat="1" x14ac:dyDescent="0.25">
      <c r="A629" s="161"/>
      <c r="B629" s="172" t="s">
        <v>37</v>
      </c>
      <c r="C629" s="173"/>
      <c r="D629" s="172"/>
      <c r="E629" s="161" t="s">
        <v>31</v>
      </c>
      <c r="F629" s="161" t="s">
        <v>19</v>
      </c>
      <c r="G629" s="161"/>
      <c r="H629" s="163">
        <v>1</v>
      </c>
      <c r="I629" s="164">
        <v>90000</v>
      </c>
      <c r="J629" s="165">
        <v>1</v>
      </c>
      <c r="K629" s="171">
        <f t="shared" si="98"/>
        <v>90000</v>
      </c>
      <c r="L629" s="166"/>
      <c r="N629" s="168">
        <f t="shared" si="102"/>
        <v>90000</v>
      </c>
      <c r="O629" s="169"/>
    </row>
    <row r="630" spans="1:15" s="167" customFormat="1" x14ac:dyDescent="0.25">
      <c r="A630" s="161"/>
      <c r="B630" s="172" t="s">
        <v>740</v>
      </c>
      <c r="C630" s="173"/>
      <c r="D630" s="172"/>
      <c r="E630" s="161" t="s">
        <v>10</v>
      </c>
      <c r="F630" s="161" t="s">
        <v>19</v>
      </c>
      <c r="G630" s="161"/>
      <c r="H630" s="163">
        <v>1</v>
      </c>
      <c r="I630" s="164">
        <v>13000</v>
      </c>
      <c r="J630" s="165">
        <v>1</v>
      </c>
      <c r="K630" s="171">
        <f t="shared" si="98"/>
        <v>13000</v>
      </c>
      <c r="L630" s="166"/>
      <c r="N630" s="168">
        <f t="shared" ref="N630:N631" si="103">+I630</f>
        <v>13000</v>
      </c>
      <c r="O630" s="169"/>
    </row>
    <row r="631" spans="1:15" s="167" customFormat="1" x14ac:dyDescent="0.25">
      <c r="A631" s="161"/>
      <c r="B631" s="172" t="s">
        <v>741</v>
      </c>
      <c r="C631" s="173"/>
      <c r="D631" s="172"/>
      <c r="E631" s="161" t="s">
        <v>10</v>
      </c>
      <c r="F631" s="161" t="s">
        <v>19</v>
      </c>
      <c r="G631" s="161"/>
      <c r="H631" s="163">
        <v>1</v>
      </c>
      <c r="I631" s="164">
        <v>13000</v>
      </c>
      <c r="J631" s="165">
        <v>1</v>
      </c>
      <c r="K631" s="171">
        <f t="shared" si="98"/>
        <v>13000</v>
      </c>
      <c r="L631" s="166"/>
      <c r="N631" s="168">
        <f t="shared" si="103"/>
        <v>13000</v>
      </c>
      <c r="O631" s="169"/>
    </row>
    <row r="632" spans="1:15" s="167" customFormat="1" x14ac:dyDescent="0.25">
      <c r="A632" s="161"/>
      <c r="B632" s="172" t="s">
        <v>33</v>
      </c>
      <c r="C632" s="173"/>
      <c r="D632" s="172"/>
      <c r="E632" s="161" t="s">
        <v>31</v>
      </c>
      <c r="F632" s="161" t="s">
        <v>35</v>
      </c>
      <c r="G632" s="161"/>
      <c r="H632" s="163">
        <v>1</v>
      </c>
      <c r="I632" s="164">
        <v>373000</v>
      </c>
      <c r="J632" s="165">
        <v>1</v>
      </c>
      <c r="K632" s="171">
        <f t="shared" si="98"/>
        <v>373000</v>
      </c>
      <c r="L632" s="166"/>
      <c r="N632" s="168">
        <f>+I632</f>
        <v>373000</v>
      </c>
      <c r="O632" s="169"/>
    </row>
    <row r="633" spans="1:15" s="6" customFormat="1" x14ac:dyDescent="0.25">
      <c r="A633" s="9"/>
      <c r="B633" s="10" t="s">
        <v>150</v>
      </c>
      <c r="C633" s="21"/>
      <c r="D633" s="10"/>
      <c r="E633" s="9" t="s">
        <v>10</v>
      </c>
      <c r="F633" s="9"/>
      <c r="G633" s="9" t="s">
        <v>742</v>
      </c>
      <c r="H633" s="11">
        <f>3*2</f>
        <v>6</v>
      </c>
      <c r="I633" s="18">
        <v>162000</v>
      </c>
      <c r="J633" s="85">
        <v>1</v>
      </c>
      <c r="K633" s="12">
        <f t="shared" si="98"/>
        <v>972000</v>
      </c>
      <c r="L633" s="84"/>
      <c r="N633" s="8">
        <f>+I633</f>
        <v>162000</v>
      </c>
      <c r="O633" s="7"/>
    </row>
    <row r="634" spans="1:15" s="6" customFormat="1" x14ac:dyDescent="0.25">
      <c r="A634" s="9"/>
      <c r="B634" s="10" t="s">
        <v>52</v>
      </c>
      <c r="C634" s="21"/>
      <c r="D634" s="10"/>
      <c r="E634" s="9" t="s">
        <v>10</v>
      </c>
      <c r="F634" s="9"/>
      <c r="G634" s="9" t="s">
        <v>797</v>
      </c>
      <c r="H634" s="24">
        <f>11.9*2</f>
        <v>23.8</v>
      </c>
      <c r="I634" s="18">
        <v>347000</v>
      </c>
      <c r="J634" s="85">
        <v>1</v>
      </c>
      <c r="K634" s="12">
        <f t="shared" si="98"/>
        <v>8258600</v>
      </c>
      <c r="L634" s="84"/>
      <c r="N634" s="8">
        <f>+I634</f>
        <v>347000</v>
      </c>
      <c r="O634" s="7"/>
    </row>
    <row r="635" spans="1:15" s="6" customFormat="1" x14ac:dyDescent="0.25">
      <c r="A635" s="9"/>
      <c r="B635" s="10" t="s">
        <v>743</v>
      </c>
      <c r="C635" s="21"/>
      <c r="D635" s="10"/>
      <c r="E635" s="9" t="s">
        <v>10</v>
      </c>
      <c r="F635" s="9"/>
      <c r="G635" s="9" t="s">
        <v>744</v>
      </c>
      <c r="H635" s="24">
        <f>7.12*9</f>
        <v>64.08</v>
      </c>
      <c r="I635" s="18">
        <v>19900</v>
      </c>
      <c r="J635" s="85">
        <v>1</v>
      </c>
      <c r="K635" s="12">
        <f t="shared" si="98"/>
        <v>1275192</v>
      </c>
      <c r="L635" s="84"/>
      <c r="M635" s="27"/>
      <c r="N635" s="28"/>
      <c r="O635" s="28" t="s">
        <v>806</v>
      </c>
    </row>
    <row r="636" spans="1:15" s="191" customFormat="1" x14ac:dyDescent="0.25">
      <c r="A636" s="185"/>
      <c r="B636" s="186" t="s">
        <v>803</v>
      </c>
      <c r="C636" s="185"/>
      <c r="D636" s="185"/>
      <c r="E636" s="185" t="s">
        <v>47</v>
      </c>
      <c r="F636" s="185"/>
      <c r="G636" s="185"/>
      <c r="H636" s="187">
        <v>6</v>
      </c>
      <c r="I636" s="188">
        <v>2000000</v>
      </c>
      <c r="J636" s="189">
        <v>1</v>
      </c>
      <c r="K636" s="188">
        <f t="shared" si="98"/>
        <v>12000000</v>
      </c>
      <c r="L636" s="190"/>
      <c r="M636" s="6"/>
      <c r="N636" s="8">
        <f>+I636</f>
        <v>2000000</v>
      </c>
      <c r="O636" s="7"/>
    </row>
    <row r="637" spans="1:15" s="191" customFormat="1" x14ac:dyDescent="0.25">
      <c r="A637" s="185"/>
      <c r="B637" s="186" t="s">
        <v>48</v>
      </c>
      <c r="C637" s="185"/>
      <c r="D637" s="185"/>
      <c r="E637" s="185" t="s">
        <v>49</v>
      </c>
      <c r="F637" s="185"/>
      <c r="G637" s="185"/>
      <c r="H637" s="187">
        <v>1</v>
      </c>
      <c r="I637" s="188">
        <v>5000000</v>
      </c>
      <c r="J637" s="189">
        <v>1</v>
      </c>
      <c r="K637" s="188">
        <f t="shared" si="98"/>
        <v>5000000</v>
      </c>
      <c r="L637" s="190"/>
      <c r="M637" s="6"/>
      <c r="N637" s="8">
        <f>+I637</f>
        <v>5000000</v>
      </c>
      <c r="O637" s="7"/>
    </row>
    <row r="638" spans="1:15" s="167" customFormat="1" x14ac:dyDescent="0.25">
      <c r="A638" s="161"/>
      <c r="B638" s="172" t="s">
        <v>745</v>
      </c>
      <c r="C638" s="173"/>
      <c r="D638" s="172"/>
      <c r="E638" s="161" t="s">
        <v>31</v>
      </c>
      <c r="F638" s="161" t="s">
        <v>27</v>
      </c>
      <c r="G638" s="161"/>
      <c r="H638" s="163">
        <v>1</v>
      </c>
      <c r="I638" s="164">
        <v>120000</v>
      </c>
      <c r="J638" s="165">
        <v>1</v>
      </c>
      <c r="K638" s="171">
        <f t="shared" si="98"/>
        <v>120000</v>
      </c>
      <c r="L638" s="166"/>
      <c r="N638" s="168">
        <f>+I638</f>
        <v>120000</v>
      </c>
      <c r="O638" s="169"/>
    </row>
    <row r="639" spans="1:15" s="6" customFormat="1" x14ac:dyDescent="0.25">
      <c r="A639" s="13">
        <v>25</v>
      </c>
      <c r="B639" s="86" t="s">
        <v>746</v>
      </c>
      <c r="C639" s="13">
        <v>100</v>
      </c>
      <c r="D639" s="13">
        <v>2</v>
      </c>
      <c r="E639" s="13"/>
      <c r="F639" s="13"/>
      <c r="G639" s="47"/>
      <c r="H639" s="104"/>
      <c r="I639" s="89"/>
      <c r="J639" s="91"/>
      <c r="K639" s="89">
        <f>SUM(K640:K685)</f>
        <v>1116998318</v>
      </c>
      <c r="L639" s="84"/>
      <c r="N639" s="7"/>
      <c r="O639" s="7"/>
    </row>
    <row r="640" spans="1:15" s="139" customFormat="1" x14ac:dyDescent="0.25">
      <c r="A640" s="133"/>
      <c r="B640" s="140" t="s">
        <v>9</v>
      </c>
      <c r="C640" s="133"/>
      <c r="D640" s="133"/>
      <c r="E640" s="133" t="s">
        <v>10</v>
      </c>
      <c r="F640" s="133"/>
      <c r="G640" s="143"/>
      <c r="H640" s="144">
        <v>150</v>
      </c>
      <c r="I640" s="141">
        <v>3000000</v>
      </c>
      <c r="J640" s="137">
        <v>1</v>
      </c>
      <c r="K640" s="141">
        <f>H640*I640</f>
        <v>450000000</v>
      </c>
      <c r="L640" s="138"/>
      <c r="M640" s="6"/>
      <c r="N640" s="8">
        <f>+I640</f>
        <v>3000000</v>
      </c>
      <c r="O640" s="7"/>
    </row>
    <row r="641" spans="1:15" s="6" customFormat="1" ht="94.5" x14ac:dyDescent="0.25">
      <c r="A641" s="9"/>
      <c r="B641" s="20" t="s">
        <v>799</v>
      </c>
      <c r="C641" s="9"/>
      <c r="D641" s="9"/>
      <c r="E641" s="9"/>
      <c r="F641" s="9"/>
      <c r="G641" s="9"/>
      <c r="H641" s="11"/>
      <c r="I641" s="12"/>
      <c r="J641" s="85">
        <v>1</v>
      </c>
      <c r="K641" s="12"/>
      <c r="L641" s="84"/>
      <c r="N641" s="7"/>
      <c r="O641" s="7"/>
    </row>
    <row r="642" spans="1:15" s="6" customFormat="1" x14ac:dyDescent="0.25">
      <c r="A642" s="9"/>
      <c r="B642" s="105" t="s">
        <v>747</v>
      </c>
      <c r="C642" s="9"/>
      <c r="D642" s="9"/>
      <c r="E642" s="9" t="s">
        <v>10</v>
      </c>
      <c r="F642" s="9"/>
      <c r="G642" s="9" t="s">
        <v>748</v>
      </c>
      <c r="H642" s="11">
        <f>12.4*6.6</f>
        <v>81.84</v>
      </c>
      <c r="I642" s="12">
        <f>4451000+32000*5</f>
        <v>4611000</v>
      </c>
      <c r="J642" s="85">
        <v>1</v>
      </c>
      <c r="K642" s="12">
        <f>I642*H642</f>
        <v>377364240</v>
      </c>
      <c r="L642" s="84"/>
      <c r="N642" s="8">
        <f>+I642</f>
        <v>4611000</v>
      </c>
      <c r="O642" s="7"/>
    </row>
    <row r="643" spans="1:15" s="6" customFormat="1" ht="31.5" x14ac:dyDescent="0.25">
      <c r="A643" s="17"/>
      <c r="B643" s="87" t="s">
        <v>60</v>
      </c>
      <c r="C643" s="9"/>
      <c r="D643" s="9"/>
      <c r="E643" s="9" t="s">
        <v>10</v>
      </c>
      <c r="F643" s="9"/>
      <c r="G643" s="21" t="s">
        <v>798</v>
      </c>
      <c r="H643" s="22">
        <f>12*6.2</f>
        <v>74.400000000000006</v>
      </c>
      <c r="I643" s="12">
        <v>149000</v>
      </c>
      <c r="J643" s="85">
        <v>1</v>
      </c>
      <c r="K643" s="12">
        <f t="shared" ref="K643:K644" si="104">H643*I643</f>
        <v>11085600</v>
      </c>
      <c r="L643" s="84"/>
      <c r="N643" s="8">
        <f t="shared" ref="N643:N648" si="105">+I643</f>
        <v>149000</v>
      </c>
      <c r="O643" s="7"/>
    </row>
    <row r="644" spans="1:15" s="6" customFormat="1" x14ac:dyDescent="0.25">
      <c r="A644" s="17"/>
      <c r="B644" s="87" t="s">
        <v>45</v>
      </c>
      <c r="C644" s="9"/>
      <c r="D644" s="9"/>
      <c r="E644" s="9" t="s">
        <v>10</v>
      </c>
      <c r="F644" s="9"/>
      <c r="G644" s="21" t="s">
        <v>798</v>
      </c>
      <c r="H644" s="22">
        <f>-12*6.2</f>
        <v>-74.400000000000006</v>
      </c>
      <c r="I644" s="12">
        <v>102000</v>
      </c>
      <c r="J644" s="85">
        <v>1</v>
      </c>
      <c r="K644" s="12">
        <f t="shared" si="104"/>
        <v>-7588800.0000000009</v>
      </c>
      <c r="L644" s="84"/>
      <c r="N644" s="8">
        <f t="shared" si="105"/>
        <v>102000</v>
      </c>
      <c r="O644" s="7"/>
    </row>
    <row r="645" spans="1:15" s="6" customFormat="1" ht="31.5" x14ac:dyDescent="0.25">
      <c r="A645" s="9"/>
      <c r="B645" s="105" t="s">
        <v>749</v>
      </c>
      <c r="C645" s="9"/>
      <c r="D645" s="9"/>
      <c r="E645" s="9" t="s">
        <v>10</v>
      </c>
      <c r="F645" s="9"/>
      <c r="G645" s="9" t="s">
        <v>750</v>
      </c>
      <c r="H645" s="11">
        <f>3*2.7</f>
        <v>8.1000000000000014</v>
      </c>
      <c r="I645" s="12">
        <f>2552000-70000-480000</f>
        <v>2002000</v>
      </c>
      <c r="J645" s="85">
        <v>1</v>
      </c>
      <c r="K645" s="12">
        <f t="shared" ref="K645:K656" si="106">I645*H645</f>
        <v>16216200.000000004</v>
      </c>
      <c r="L645" s="84"/>
      <c r="N645" s="8">
        <f t="shared" si="105"/>
        <v>2002000</v>
      </c>
      <c r="O645" s="7"/>
    </row>
    <row r="646" spans="1:15" s="6" customFormat="1" ht="31.5" x14ac:dyDescent="0.25">
      <c r="A646" s="17"/>
      <c r="B646" s="87" t="s">
        <v>60</v>
      </c>
      <c r="C646" s="9"/>
      <c r="D646" s="9"/>
      <c r="E646" s="9" t="s">
        <v>10</v>
      </c>
      <c r="F646" s="9"/>
      <c r="G646" s="21" t="s">
        <v>723</v>
      </c>
      <c r="H646" s="88">
        <f>2*1.8</f>
        <v>3.6</v>
      </c>
      <c r="I646" s="12">
        <v>149000</v>
      </c>
      <c r="J646" s="85">
        <v>1</v>
      </c>
      <c r="K646" s="12">
        <f t="shared" ref="K646:K647" si="107">H646*I646</f>
        <v>536400</v>
      </c>
      <c r="L646" s="84"/>
      <c r="N646" s="8">
        <f t="shared" si="105"/>
        <v>149000</v>
      </c>
      <c r="O646" s="7"/>
    </row>
    <row r="647" spans="1:15" s="6" customFormat="1" x14ac:dyDescent="0.25">
      <c r="A647" s="17"/>
      <c r="B647" s="87" t="s">
        <v>45</v>
      </c>
      <c r="C647" s="9"/>
      <c r="D647" s="9"/>
      <c r="E647" s="9" t="s">
        <v>10</v>
      </c>
      <c r="F647" s="9"/>
      <c r="G647" s="21" t="s">
        <v>723</v>
      </c>
      <c r="H647" s="88">
        <f>-2*1.8</f>
        <v>-3.6</v>
      </c>
      <c r="I647" s="12">
        <v>102000</v>
      </c>
      <c r="J647" s="85">
        <v>1</v>
      </c>
      <c r="K647" s="12">
        <f t="shared" si="107"/>
        <v>-367200</v>
      </c>
      <c r="L647" s="84"/>
      <c r="N647" s="8">
        <f t="shared" si="105"/>
        <v>102000</v>
      </c>
      <c r="O647" s="7"/>
    </row>
    <row r="648" spans="1:15" s="6" customFormat="1" x14ac:dyDescent="0.25">
      <c r="A648" s="9"/>
      <c r="B648" s="20" t="s">
        <v>751</v>
      </c>
      <c r="C648" s="9"/>
      <c r="D648" s="9"/>
      <c r="E648" s="9" t="s">
        <v>10</v>
      </c>
      <c r="F648" s="9" t="s">
        <v>507</v>
      </c>
      <c r="G648" s="9" t="s">
        <v>752</v>
      </c>
      <c r="H648" s="24">
        <f>27.8*1.5</f>
        <v>41.7</v>
      </c>
      <c r="I648" s="12">
        <v>255000</v>
      </c>
      <c r="J648" s="85">
        <v>1</v>
      </c>
      <c r="K648" s="12">
        <f t="shared" si="106"/>
        <v>10633500</v>
      </c>
      <c r="L648" s="84"/>
      <c r="N648" s="8">
        <f t="shared" si="105"/>
        <v>255000</v>
      </c>
      <c r="O648" s="7"/>
    </row>
    <row r="649" spans="1:15" s="6" customFormat="1" ht="47.25" x14ac:dyDescent="0.25">
      <c r="A649" s="9"/>
      <c r="B649" s="20" t="s">
        <v>753</v>
      </c>
      <c r="C649" s="9"/>
      <c r="D649" s="9"/>
      <c r="E649" s="9" t="s">
        <v>10</v>
      </c>
      <c r="F649" s="9"/>
      <c r="G649" s="9" t="s">
        <v>754</v>
      </c>
      <c r="H649" s="11">
        <f>7.2*4</f>
        <v>28.8</v>
      </c>
      <c r="I649" s="12">
        <f>2901000+64000-38000</f>
        <v>2927000</v>
      </c>
      <c r="J649" s="85">
        <v>1</v>
      </c>
      <c r="K649" s="12">
        <f t="shared" si="106"/>
        <v>84297600</v>
      </c>
      <c r="L649" s="84"/>
      <c r="N649" s="8">
        <f t="shared" ref="N649:N662" si="108">+I649</f>
        <v>2927000</v>
      </c>
      <c r="O649" s="7"/>
    </row>
    <row r="650" spans="1:15" s="6" customFormat="1" ht="31.5" x14ac:dyDescent="0.25">
      <c r="A650" s="17"/>
      <c r="B650" s="87" t="s">
        <v>323</v>
      </c>
      <c r="C650" s="9"/>
      <c r="D650" s="9"/>
      <c r="E650" s="9" t="s">
        <v>10</v>
      </c>
      <c r="F650" s="9"/>
      <c r="G650" s="9" t="s">
        <v>702</v>
      </c>
      <c r="H650" s="11">
        <f>6.7*3.5</f>
        <v>23.45</v>
      </c>
      <c r="I650" s="12">
        <v>198000</v>
      </c>
      <c r="J650" s="85">
        <v>1</v>
      </c>
      <c r="K650" s="12">
        <f t="shared" ref="K650:K651" si="109">H650*I650</f>
        <v>4643100</v>
      </c>
      <c r="L650" s="84"/>
      <c r="N650" s="8">
        <f t="shared" si="108"/>
        <v>198000</v>
      </c>
      <c r="O650" s="7"/>
    </row>
    <row r="651" spans="1:15" s="6" customFormat="1" x14ac:dyDescent="0.25">
      <c r="A651" s="17"/>
      <c r="B651" s="87" t="s">
        <v>45</v>
      </c>
      <c r="C651" s="9"/>
      <c r="D651" s="9"/>
      <c r="E651" s="9" t="s">
        <v>10</v>
      </c>
      <c r="F651" s="9"/>
      <c r="G651" s="21" t="s">
        <v>702</v>
      </c>
      <c r="H651" s="88">
        <f>-6.7*3.5</f>
        <v>-23.45</v>
      </c>
      <c r="I651" s="12">
        <v>102000</v>
      </c>
      <c r="J651" s="85">
        <v>1</v>
      </c>
      <c r="K651" s="12">
        <f t="shared" si="109"/>
        <v>-2391900</v>
      </c>
      <c r="L651" s="84"/>
      <c r="N651" s="8">
        <f t="shared" si="108"/>
        <v>102000</v>
      </c>
      <c r="O651" s="7"/>
    </row>
    <row r="652" spans="1:15" s="6" customFormat="1" ht="31.5" x14ac:dyDescent="0.25">
      <c r="A652" s="9"/>
      <c r="B652" s="20" t="s">
        <v>755</v>
      </c>
      <c r="C652" s="9"/>
      <c r="D652" s="9"/>
      <c r="E652" s="9" t="s">
        <v>10</v>
      </c>
      <c r="F652" s="9"/>
      <c r="G652" s="9" t="s">
        <v>756</v>
      </c>
      <c r="H652" s="11">
        <f>8.3*4.5</f>
        <v>37.35</v>
      </c>
      <c r="I652" s="12">
        <f>1313000-38000</f>
        <v>1275000</v>
      </c>
      <c r="J652" s="85">
        <v>1</v>
      </c>
      <c r="K652" s="12">
        <f t="shared" si="106"/>
        <v>47621250</v>
      </c>
      <c r="L652" s="84"/>
      <c r="N652" s="8">
        <f t="shared" si="108"/>
        <v>1275000</v>
      </c>
      <c r="O652" s="7"/>
    </row>
    <row r="653" spans="1:15" s="6" customFormat="1" x14ac:dyDescent="0.25">
      <c r="A653" s="9"/>
      <c r="B653" s="20" t="s">
        <v>150</v>
      </c>
      <c r="C653" s="9"/>
      <c r="D653" s="9"/>
      <c r="E653" s="9" t="s">
        <v>10</v>
      </c>
      <c r="F653" s="9"/>
      <c r="G653" s="21" t="s">
        <v>757</v>
      </c>
      <c r="H653" s="88">
        <f>2.8*1.8</f>
        <v>5.04</v>
      </c>
      <c r="I653" s="12">
        <v>162000</v>
      </c>
      <c r="J653" s="85">
        <v>1</v>
      </c>
      <c r="K653" s="12">
        <f t="shared" si="106"/>
        <v>816480</v>
      </c>
      <c r="L653" s="84"/>
      <c r="N653" s="8">
        <f t="shared" si="108"/>
        <v>162000</v>
      </c>
      <c r="O653" s="7"/>
    </row>
    <row r="654" spans="1:15" s="6" customFormat="1" x14ac:dyDescent="0.25">
      <c r="A654" s="9"/>
      <c r="B654" s="17" t="s">
        <v>430</v>
      </c>
      <c r="C654" s="9"/>
      <c r="D654" s="9"/>
      <c r="E654" s="9" t="s">
        <v>10</v>
      </c>
      <c r="F654" s="9"/>
      <c r="G654" s="9" t="s">
        <v>758</v>
      </c>
      <c r="H654" s="11">
        <f>2.8*0.6</f>
        <v>1.68</v>
      </c>
      <c r="I654" s="12">
        <v>611000</v>
      </c>
      <c r="J654" s="85">
        <v>1</v>
      </c>
      <c r="K654" s="12">
        <f t="shared" si="106"/>
        <v>1026480</v>
      </c>
      <c r="L654" s="84"/>
      <c r="N654" s="8">
        <f t="shared" si="108"/>
        <v>611000</v>
      </c>
      <c r="O654" s="7"/>
    </row>
    <row r="655" spans="1:15" s="6" customFormat="1" x14ac:dyDescent="0.25">
      <c r="A655" s="9"/>
      <c r="B655" s="20" t="s">
        <v>759</v>
      </c>
      <c r="C655" s="9"/>
      <c r="D655" s="9"/>
      <c r="E655" s="9" t="s">
        <v>15</v>
      </c>
      <c r="F655" s="9" t="s">
        <v>43</v>
      </c>
      <c r="G655" s="9" t="s">
        <v>760</v>
      </c>
      <c r="H655" s="11">
        <f>2.8*0.6*0.1</f>
        <v>0.16800000000000001</v>
      </c>
      <c r="I655" s="12">
        <v>3341000</v>
      </c>
      <c r="J655" s="85">
        <v>1</v>
      </c>
      <c r="K655" s="12">
        <f t="shared" si="106"/>
        <v>561288</v>
      </c>
      <c r="L655" s="84"/>
      <c r="N655" s="8">
        <f t="shared" si="108"/>
        <v>3341000</v>
      </c>
      <c r="O655" s="7" t="s">
        <v>804</v>
      </c>
    </row>
    <row r="656" spans="1:15" s="6" customFormat="1" ht="47.25" x14ac:dyDescent="0.25">
      <c r="A656" s="9"/>
      <c r="B656" s="20" t="s">
        <v>761</v>
      </c>
      <c r="C656" s="9"/>
      <c r="D656" s="9"/>
      <c r="E656" s="9" t="s">
        <v>10</v>
      </c>
      <c r="F656" s="9"/>
      <c r="G656" s="9" t="s">
        <v>762</v>
      </c>
      <c r="H656" s="11">
        <f>3.5*2.4</f>
        <v>8.4</v>
      </c>
      <c r="I656" s="12">
        <v>1565000</v>
      </c>
      <c r="J656" s="85">
        <v>1</v>
      </c>
      <c r="K656" s="12">
        <f t="shared" si="106"/>
        <v>13146000</v>
      </c>
      <c r="L656" s="84"/>
      <c r="N656" s="8">
        <f t="shared" si="108"/>
        <v>1565000</v>
      </c>
      <c r="O656" s="7"/>
    </row>
    <row r="657" spans="1:15" s="6" customFormat="1" x14ac:dyDescent="0.25">
      <c r="A657" s="9"/>
      <c r="B657" s="17" t="s">
        <v>13</v>
      </c>
      <c r="C657" s="9"/>
      <c r="D657" s="9"/>
      <c r="E657" s="9" t="s">
        <v>763</v>
      </c>
      <c r="F657" s="9"/>
      <c r="G657" s="9"/>
      <c r="H657" s="11">
        <v>1</v>
      </c>
      <c r="I657" s="12">
        <v>350000</v>
      </c>
      <c r="J657" s="85">
        <v>1</v>
      </c>
      <c r="K657" s="12">
        <f>I657*H657</f>
        <v>350000</v>
      </c>
      <c r="L657" s="84"/>
      <c r="N657" s="8">
        <f t="shared" si="108"/>
        <v>350000</v>
      </c>
      <c r="O657" s="7"/>
    </row>
    <row r="658" spans="1:15" s="6" customFormat="1" x14ac:dyDescent="0.25">
      <c r="A658" s="9"/>
      <c r="B658" s="17" t="s">
        <v>452</v>
      </c>
      <c r="C658" s="9"/>
      <c r="D658" s="9"/>
      <c r="E658" s="9" t="s">
        <v>763</v>
      </c>
      <c r="F658" s="9"/>
      <c r="G658" s="9"/>
      <c r="H658" s="11">
        <v>1</v>
      </c>
      <c r="I658" s="12">
        <v>143000</v>
      </c>
      <c r="J658" s="85">
        <v>1</v>
      </c>
      <c r="K658" s="12">
        <f t="shared" ref="K658:K678" si="110">I658*H658</f>
        <v>143000</v>
      </c>
      <c r="L658" s="84"/>
      <c r="N658" s="8">
        <f t="shared" si="108"/>
        <v>143000</v>
      </c>
      <c r="O658" s="7"/>
    </row>
    <row r="659" spans="1:15" s="6" customFormat="1" x14ac:dyDescent="0.25">
      <c r="A659" s="9"/>
      <c r="B659" s="17" t="s">
        <v>29</v>
      </c>
      <c r="C659" s="9"/>
      <c r="D659" s="9"/>
      <c r="E659" s="9" t="s">
        <v>10</v>
      </c>
      <c r="F659" s="9"/>
      <c r="G659" s="9" t="s">
        <v>764</v>
      </c>
      <c r="H659" s="11">
        <f>5.6*3.8</f>
        <v>21.279999999999998</v>
      </c>
      <c r="I659" s="12">
        <v>347000</v>
      </c>
      <c r="J659" s="85">
        <v>1</v>
      </c>
      <c r="K659" s="12">
        <f t="shared" si="110"/>
        <v>7384159.9999999991</v>
      </c>
      <c r="L659" s="84"/>
      <c r="N659" s="8">
        <f t="shared" si="108"/>
        <v>347000</v>
      </c>
      <c r="O659" s="7"/>
    </row>
    <row r="660" spans="1:15" s="6" customFormat="1" x14ac:dyDescent="0.25">
      <c r="A660" s="9"/>
      <c r="B660" s="20" t="s">
        <v>53</v>
      </c>
      <c r="C660" s="9"/>
      <c r="D660" s="9"/>
      <c r="E660" s="9" t="s">
        <v>15</v>
      </c>
      <c r="F660" s="9" t="s">
        <v>50</v>
      </c>
      <c r="G660" s="9" t="s">
        <v>765</v>
      </c>
      <c r="H660" s="11">
        <f>5.6*3.8*0.15</f>
        <v>3.1919999999999997</v>
      </c>
      <c r="I660" s="12">
        <v>763000</v>
      </c>
      <c r="J660" s="85">
        <v>1</v>
      </c>
      <c r="K660" s="12">
        <f t="shared" si="110"/>
        <v>2435496</v>
      </c>
      <c r="L660" s="84"/>
      <c r="N660" s="8">
        <f t="shared" si="108"/>
        <v>763000</v>
      </c>
      <c r="O660" s="7" t="s">
        <v>804</v>
      </c>
    </row>
    <row r="661" spans="1:15" s="6" customFormat="1" x14ac:dyDescent="0.25">
      <c r="A661" s="9"/>
      <c r="B661" s="20" t="s">
        <v>766</v>
      </c>
      <c r="C661" s="9"/>
      <c r="D661" s="9"/>
      <c r="E661" s="9" t="s">
        <v>61</v>
      </c>
      <c r="F661" s="9"/>
      <c r="G661" s="9" t="s">
        <v>767</v>
      </c>
      <c r="H661" s="11">
        <f xml:space="preserve"> (3.5+2.4)*2*0.11*1</f>
        <v>1.298</v>
      </c>
      <c r="I661" s="12">
        <v>2135000</v>
      </c>
      <c r="J661" s="85">
        <v>1</v>
      </c>
      <c r="K661" s="12">
        <f t="shared" si="110"/>
        <v>2771230</v>
      </c>
      <c r="L661" s="84"/>
      <c r="N661" s="8">
        <f t="shared" si="108"/>
        <v>2135000</v>
      </c>
      <c r="O661" s="7"/>
    </row>
    <row r="662" spans="1:15" s="6" customFormat="1" x14ac:dyDescent="0.25">
      <c r="A662" s="9"/>
      <c r="B662" s="20" t="s">
        <v>768</v>
      </c>
      <c r="C662" s="9"/>
      <c r="D662" s="9"/>
      <c r="E662" s="9" t="s">
        <v>10</v>
      </c>
      <c r="F662" s="9" t="s">
        <v>43</v>
      </c>
      <c r="G662" s="9" t="s">
        <v>769</v>
      </c>
      <c r="H662" s="24">
        <f>(3.5*2.4*0.1)*2</f>
        <v>1.6800000000000002</v>
      </c>
      <c r="I662" s="12">
        <v>3341000</v>
      </c>
      <c r="J662" s="85">
        <v>1</v>
      </c>
      <c r="K662" s="12">
        <f t="shared" si="110"/>
        <v>5612880.0000000009</v>
      </c>
      <c r="L662" s="84"/>
      <c r="N662" s="8">
        <f t="shared" si="108"/>
        <v>3341000</v>
      </c>
      <c r="O662" s="7" t="s">
        <v>804</v>
      </c>
    </row>
    <row r="663" spans="1:15" s="6" customFormat="1" x14ac:dyDescent="0.25">
      <c r="A663" s="9"/>
      <c r="B663" s="17" t="s">
        <v>12</v>
      </c>
      <c r="C663" s="9"/>
      <c r="D663" s="9"/>
      <c r="E663" s="121" t="s">
        <v>14</v>
      </c>
      <c r="F663" s="121" t="s">
        <v>557</v>
      </c>
      <c r="G663" s="121" t="s">
        <v>46</v>
      </c>
      <c r="H663" s="11">
        <v>30</v>
      </c>
      <c r="I663" s="12">
        <v>136000</v>
      </c>
      <c r="J663" s="85">
        <v>1</v>
      </c>
      <c r="K663" s="12">
        <f t="shared" si="110"/>
        <v>4080000</v>
      </c>
      <c r="L663" s="84"/>
      <c r="N663" s="8">
        <f t="shared" ref="N663:N670" si="111">+I663</f>
        <v>136000</v>
      </c>
      <c r="O663" s="7"/>
    </row>
    <row r="664" spans="1:15" s="6" customFormat="1" x14ac:dyDescent="0.25">
      <c r="A664" s="9"/>
      <c r="B664" s="17" t="s">
        <v>64</v>
      </c>
      <c r="C664" s="9"/>
      <c r="D664" s="9"/>
      <c r="E664" s="121"/>
      <c r="F664" s="121"/>
      <c r="G664" s="121"/>
      <c r="H664" s="11">
        <v>40</v>
      </c>
      <c r="I664" s="12">
        <v>245000</v>
      </c>
      <c r="J664" s="85">
        <v>1</v>
      </c>
      <c r="K664" s="12">
        <f t="shared" si="110"/>
        <v>9800000</v>
      </c>
      <c r="L664" s="84"/>
      <c r="N664" s="8">
        <f t="shared" si="111"/>
        <v>245000</v>
      </c>
      <c r="O664" s="7"/>
    </row>
    <row r="665" spans="1:15" s="6" customFormat="1" x14ac:dyDescent="0.25">
      <c r="A665" s="9"/>
      <c r="B665" s="17" t="s">
        <v>770</v>
      </c>
      <c r="C665" s="9"/>
      <c r="D665" s="9"/>
      <c r="E665" s="9" t="s">
        <v>10</v>
      </c>
      <c r="F665" s="9"/>
      <c r="G665" s="9" t="s">
        <v>771</v>
      </c>
      <c r="H665" s="11">
        <f>9*4.5+5.5*2.7</f>
        <v>55.35</v>
      </c>
      <c r="I665" s="12">
        <v>77000</v>
      </c>
      <c r="J665" s="85">
        <v>1</v>
      </c>
      <c r="K665" s="12">
        <f t="shared" si="110"/>
        <v>4261950</v>
      </c>
      <c r="L665" s="84"/>
      <c r="N665" s="8">
        <f t="shared" si="111"/>
        <v>77000</v>
      </c>
      <c r="O665" s="7"/>
    </row>
    <row r="666" spans="1:15" s="6" customFormat="1" x14ac:dyDescent="0.25">
      <c r="A666" s="9"/>
      <c r="B666" s="17" t="s">
        <v>29</v>
      </c>
      <c r="C666" s="9"/>
      <c r="D666" s="9"/>
      <c r="E666" s="9" t="s">
        <v>10</v>
      </c>
      <c r="F666" s="9"/>
      <c r="G666" s="9" t="s">
        <v>772</v>
      </c>
      <c r="H666" s="11">
        <f>7*4</f>
        <v>28</v>
      </c>
      <c r="I666" s="12">
        <v>347000</v>
      </c>
      <c r="J666" s="85">
        <v>1</v>
      </c>
      <c r="K666" s="12">
        <f t="shared" si="110"/>
        <v>9716000</v>
      </c>
      <c r="L666" s="84"/>
      <c r="N666" s="8">
        <f t="shared" si="111"/>
        <v>347000</v>
      </c>
      <c r="O666" s="7"/>
    </row>
    <row r="667" spans="1:15" s="6" customFormat="1" x14ac:dyDescent="0.25">
      <c r="A667" s="9"/>
      <c r="B667" s="17" t="s">
        <v>335</v>
      </c>
      <c r="C667" s="9"/>
      <c r="D667" s="9"/>
      <c r="E667" s="9" t="s">
        <v>10</v>
      </c>
      <c r="F667" s="9"/>
      <c r="G667" s="9" t="s">
        <v>773</v>
      </c>
      <c r="H667" s="11">
        <f xml:space="preserve"> 13.6*1+7.3*1.4</f>
        <v>23.82</v>
      </c>
      <c r="I667" s="12">
        <v>459000</v>
      </c>
      <c r="J667" s="85">
        <v>1</v>
      </c>
      <c r="K667" s="12">
        <f t="shared" si="110"/>
        <v>10933380</v>
      </c>
      <c r="L667" s="84"/>
      <c r="N667" s="8">
        <f t="shared" si="111"/>
        <v>459000</v>
      </c>
      <c r="O667" s="7"/>
    </row>
    <row r="668" spans="1:15" s="6" customFormat="1" x14ac:dyDescent="0.25">
      <c r="A668" s="9"/>
      <c r="B668" s="20" t="s">
        <v>774</v>
      </c>
      <c r="C668" s="9"/>
      <c r="D668" s="9"/>
      <c r="E668" s="9" t="s">
        <v>10</v>
      </c>
      <c r="F668" s="9"/>
      <c r="G668" s="9" t="s">
        <v>775</v>
      </c>
      <c r="H668" s="11">
        <f>7.3*1.6</f>
        <v>11.68</v>
      </c>
      <c r="I668" s="12">
        <v>255000</v>
      </c>
      <c r="J668" s="85">
        <v>1</v>
      </c>
      <c r="K668" s="12">
        <f t="shared" si="110"/>
        <v>2978400</v>
      </c>
      <c r="L668" s="84"/>
      <c r="N668" s="8">
        <f t="shared" si="111"/>
        <v>255000</v>
      </c>
      <c r="O668" s="7"/>
    </row>
    <row r="669" spans="1:15" s="6" customFormat="1" ht="18.75" customHeight="1" x14ac:dyDescent="0.25">
      <c r="A669" s="9"/>
      <c r="B669" s="17" t="s">
        <v>776</v>
      </c>
      <c r="C669" s="9"/>
      <c r="D669" s="9"/>
      <c r="E669" s="9" t="s">
        <v>15</v>
      </c>
      <c r="F669" s="9" t="s">
        <v>43</v>
      </c>
      <c r="G669" s="9" t="s">
        <v>777</v>
      </c>
      <c r="H669" s="11">
        <f xml:space="preserve"> 0.4*0.4*2.4*2</f>
        <v>0.76800000000000013</v>
      </c>
      <c r="I669" s="12">
        <v>4282000</v>
      </c>
      <c r="J669" s="85">
        <v>1</v>
      </c>
      <c r="K669" s="12">
        <f t="shared" si="110"/>
        <v>3288576.0000000005</v>
      </c>
      <c r="L669" s="84"/>
      <c r="N669" s="8">
        <f t="shared" si="111"/>
        <v>4282000</v>
      </c>
      <c r="O669" s="7" t="s">
        <v>804</v>
      </c>
    </row>
    <row r="670" spans="1:15" s="6" customFormat="1" ht="18.75" customHeight="1" x14ac:dyDescent="0.25">
      <c r="A670" s="9"/>
      <c r="B670" s="20" t="s">
        <v>778</v>
      </c>
      <c r="C670" s="9"/>
      <c r="D670" s="9"/>
      <c r="E670" s="9" t="s">
        <v>15</v>
      </c>
      <c r="F670" s="9" t="s">
        <v>43</v>
      </c>
      <c r="G670" s="9" t="s">
        <v>779</v>
      </c>
      <c r="H670" s="11">
        <f xml:space="preserve"> 2.8*0.4*0.2</f>
        <v>0.22399999999999998</v>
      </c>
      <c r="I670" s="12">
        <v>4282000</v>
      </c>
      <c r="J670" s="85">
        <v>1</v>
      </c>
      <c r="K670" s="12">
        <f t="shared" si="110"/>
        <v>959167.99999999988</v>
      </c>
      <c r="L670" s="84"/>
      <c r="N670" s="8">
        <f t="shared" si="111"/>
        <v>4282000</v>
      </c>
      <c r="O670" s="7" t="s">
        <v>804</v>
      </c>
    </row>
    <row r="671" spans="1:15" s="6" customFormat="1" ht="18.75" customHeight="1" x14ac:dyDescent="0.25">
      <c r="A671" s="9"/>
      <c r="B671" s="17" t="s">
        <v>38</v>
      </c>
      <c r="C671" s="9"/>
      <c r="D671" s="9"/>
      <c r="E671" s="9" t="s">
        <v>10</v>
      </c>
      <c r="F671" s="9"/>
      <c r="G671" s="9" t="s">
        <v>780</v>
      </c>
      <c r="H671" s="11">
        <f>1.9*2.3</f>
        <v>4.3699999999999992</v>
      </c>
      <c r="I671" s="12">
        <v>459000</v>
      </c>
      <c r="J671" s="85">
        <v>1</v>
      </c>
      <c r="K671" s="12">
        <f t="shared" si="110"/>
        <v>2005829.9999999995</v>
      </c>
      <c r="L671" s="84"/>
      <c r="N671" s="8">
        <f t="shared" ref="N671:N677" si="112">+I671</f>
        <v>459000</v>
      </c>
      <c r="O671" s="7"/>
    </row>
    <row r="672" spans="1:15" s="6" customFormat="1" x14ac:dyDescent="0.25">
      <c r="A672" s="9"/>
      <c r="B672" s="17" t="s">
        <v>781</v>
      </c>
      <c r="C672" s="9"/>
      <c r="D672" s="9"/>
      <c r="E672" s="9" t="s">
        <v>10</v>
      </c>
      <c r="F672" s="9"/>
      <c r="G672" s="9" t="s">
        <v>782</v>
      </c>
      <c r="H672" s="11">
        <f>2.3*2</f>
        <v>4.5999999999999996</v>
      </c>
      <c r="I672" s="12">
        <v>347000</v>
      </c>
      <c r="J672" s="85">
        <v>1</v>
      </c>
      <c r="K672" s="12">
        <f t="shared" si="110"/>
        <v>1596199.9999999998</v>
      </c>
      <c r="L672" s="84"/>
      <c r="N672" s="8">
        <f t="shared" si="112"/>
        <v>347000</v>
      </c>
      <c r="O672" s="7"/>
    </row>
    <row r="673" spans="1:15" s="6" customFormat="1" x14ac:dyDescent="0.25">
      <c r="A673" s="9"/>
      <c r="B673" s="20" t="s">
        <v>783</v>
      </c>
      <c r="C673" s="9"/>
      <c r="D673" s="9"/>
      <c r="E673" s="9" t="s">
        <v>14</v>
      </c>
      <c r="F673" s="9"/>
      <c r="G673" s="9"/>
      <c r="H673" s="11">
        <v>30</v>
      </c>
      <c r="I673" s="12">
        <v>6000</v>
      </c>
      <c r="J673" s="85">
        <v>1</v>
      </c>
      <c r="K673" s="12">
        <f t="shared" si="110"/>
        <v>180000</v>
      </c>
      <c r="L673" s="84"/>
      <c r="N673" s="8">
        <f t="shared" si="112"/>
        <v>6000</v>
      </c>
      <c r="O673" s="7" t="s">
        <v>804</v>
      </c>
    </row>
    <row r="674" spans="1:15" s="6" customFormat="1" x14ac:dyDescent="0.25">
      <c r="A674" s="9"/>
      <c r="B674" s="17" t="s">
        <v>549</v>
      </c>
      <c r="C674" s="9"/>
      <c r="D674" s="9"/>
      <c r="E674" s="9" t="s">
        <v>10</v>
      </c>
      <c r="F674" s="9"/>
      <c r="G674" s="9" t="s">
        <v>784</v>
      </c>
      <c r="H674" s="11">
        <f xml:space="preserve"> 1.4*2.4+ 1.8*2.4</f>
        <v>7.68</v>
      </c>
      <c r="I674" s="12">
        <v>145000</v>
      </c>
      <c r="J674" s="85">
        <v>1</v>
      </c>
      <c r="K674" s="12">
        <f t="shared" si="110"/>
        <v>1113600</v>
      </c>
      <c r="L674" s="84"/>
      <c r="N674" s="8">
        <f t="shared" si="112"/>
        <v>145000</v>
      </c>
      <c r="O674" s="7"/>
    </row>
    <row r="675" spans="1:15" s="6" customFormat="1" ht="31.5" x14ac:dyDescent="0.25">
      <c r="A675" s="9"/>
      <c r="B675" s="20" t="s">
        <v>809</v>
      </c>
      <c r="C675" s="9"/>
      <c r="D675" s="9"/>
      <c r="E675" s="9" t="s">
        <v>10</v>
      </c>
      <c r="F675" s="9"/>
      <c r="G675" s="9" t="s">
        <v>785</v>
      </c>
      <c r="H675" s="11">
        <f xml:space="preserve"> 1.9*0.9</f>
        <v>1.71</v>
      </c>
      <c r="I675" s="12">
        <v>184000</v>
      </c>
      <c r="J675" s="85">
        <v>1</v>
      </c>
      <c r="K675" s="12">
        <f>I675*H675</f>
        <v>314640</v>
      </c>
      <c r="L675" s="84"/>
      <c r="N675" s="8">
        <f t="shared" si="112"/>
        <v>184000</v>
      </c>
      <c r="O675" s="7"/>
    </row>
    <row r="676" spans="1:15" s="6" customFormat="1" x14ac:dyDescent="0.25">
      <c r="A676" s="9"/>
      <c r="B676" s="20" t="s">
        <v>786</v>
      </c>
      <c r="C676" s="9"/>
      <c r="D676" s="9"/>
      <c r="E676" s="9" t="s">
        <v>14</v>
      </c>
      <c r="F676" s="9" t="s">
        <v>26</v>
      </c>
      <c r="G676" s="9"/>
      <c r="H676" s="11">
        <v>13.6</v>
      </c>
      <c r="I676" s="12">
        <v>46000</v>
      </c>
      <c r="J676" s="85">
        <v>1</v>
      </c>
      <c r="K676" s="12">
        <f t="shared" si="110"/>
        <v>625600</v>
      </c>
      <c r="L676" s="84"/>
      <c r="N676" s="8">
        <f t="shared" si="112"/>
        <v>46000</v>
      </c>
      <c r="O676" s="7"/>
    </row>
    <row r="677" spans="1:15" s="6" customFormat="1" x14ac:dyDescent="0.25">
      <c r="A677" s="9"/>
      <c r="B677" s="17" t="s">
        <v>787</v>
      </c>
      <c r="C677" s="9"/>
      <c r="D677" s="9"/>
      <c r="E677" s="9" t="s">
        <v>61</v>
      </c>
      <c r="F677" s="9" t="s">
        <v>251</v>
      </c>
      <c r="G677" s="9" t="s">
        <v>788</v>
      </c>
      <c r="H677" s="24">
        <f>(1.9+2.5)*2*1.5*0.22</f>
        <v>2.9040000000000004</v>
      </c>
      <c r="I677" s="12">
        <v>1714000</v>
      </c>
      <c r="J677" s="85">
        <v>1</v>
      </c>
      <c r="K677" s="12">
        <f t="shared" si="110"/>
        <v>4977456.0000000009</v>
      </c>
      <c r="L677" s="84"/>
      <c r="N677" s="8">
        <f t="shared" si="112"/>
        <v>1714000</v>
      </c>
      <c r="O677" s="7"/>
    </row>
    <row r="678" spans="1:15" s="6" customFormat="1" x14ac:dyDescent="0.25">
      <c r="A678" s="9"/>
      <c r="B678" s="20" t="s">
        <v>789</v>
      </c>
      <c r="C678" s="9"/>
      <c r="D678" s="9"/>
      <c r="E678" s="9" t="s">
        <v>15</v>
      </c>
      <c r="F678" s="9" t="s">
        <v>43</v>
      </c>
      <c r="G678" s="9" t="s">
        <v>790</v>
      </c>
      <c r="H678" s="24">
        <f>1.9*2.5*0.1*2</f>
        <v>0.95000000000000007</v>
      </c>
      <c r="I678" s="12">
        <v>3341000</v>
      </c>
      <c r="J678" s="85">
        <v>1</v>
      </c>
      <c r="K678" s="12">
        <f t="shared" si="110"/>
        <v>3173950</v>
      </c>
      <c r="L678" s="84"/>
      <c r="N678" s="8">
        <f t="shared" ref="N678:N684" si="113">+I678</f>
        <v>3341000</v>
      </c>
      <c r="O678" s="7" t="s">
        <v>804</v>
      </c>
    </row>
    <row r="679" spans="1:15" s="191" customFormat="1" x14ac:dyDescent="0.25">
      <c r="A679" s="185"/>
      <c r="B679" s="186" t="s">
        <v>803</v>
      </c>
      <c r="C679" s="185"/>
      <c r="D679" s="185"/>
      <c r="E679" s="185" t="s">
        <v>47</v>
      </c>
      <c r="F679" s="185"/>
      <c r="G679" s="185"/>
      <c r="H679" s="187">
        <v>6</v>
      </c>
      <c r="I679" s="188">
        <v>2000000</v>
      </c>
      <c r="J679" s="189">
        <v>1</v>
      </c>
      <c r="K679" s="188">
        <f t="shared" ref="K679:K685" si="114">H679*I679</f>
        <v>12000000</v>
      </c>
      <c r="L679" s="190"/>
      <c r="N679" s="192">
        <f t="shared" si="113"/>
        <v>2000000</v>
      </c>
      <c r="O679" s="193"/>
    </row>
    <row r="680" spans="1:15" s="191" customFormat="1" x14ac:dyDescent="0.25">
      <c r="A680" s="185"/>
      <c r="B680" s="186" t="s">
        <v>48</v>
      </c>
      <c r="C680" s="194"/>
      <c r="D680" s="185"/>
      <c r="E680" s="185" t="s">
        <v>49</v>
      </c>
      <c r="F680" s="185"/>
      <c r="G680" s="185"/>
      <c r="H680" s="187">
        <v>1</v>
      </c>
      <c r="I680" s="188">
        <v>5000000</v>
      </c>
      <c r="J680" s="189">
        <v>1</v>
      </c>
      <c r="K680" s="188">
        <f t="shared" si="114"/>
        <v>5000000</v>
      </c>
      <c r="L680" s="190"/>
      <c r="N680" s="192">
        <f t="shared" si="113"/>
        <v>5000000</v>
      </c>
      <c r="O680" s="193"/>
    </row>
    <row r="681" spans="1:15" s="6" customFormat="1" x14ac:dyDescent="0.25">
      <c r="A681" s="9"/>
      <c r="B681" s="17" t="s">
        <v>250</v>
      </c>
      <c r="C681" s="9"/>
      <c r="D681" s="9"/>
      <c r="E681" s="9" t="s">
        <v>15</v>
      </c>
      <c r="F681" s="9" t="s">
        <v>507</v>
      </c>
      <c r="G681" s="9" t="s">
        <v>791</v>
      </c>
      <c r="H681" s="24">
        <f>2*(2.4+1.1)*1*0.11</f>
        <v>0.77</v>
      </c>
      <c r="I681" s="12">
        <v>2135000</v>
      </c>
      <c r="J681" s="85">
        <v>1</v>
      </c>
      <c r="K681" s="18">
        <f t="shared" si="114"/>
        <v>1643950</v>
      </c>
      <c r="L681" s="84"/>
      <c r="N681" s="8">
        <f t="shared" si="113"/>
        <v>2135000</v>
      </c>
      <c r="O681" s="7"/>
    </row>
    <row r="682" spans="1:15" s="6" customFormat="1" x14ac:dyDescent="0.25">
      <c r="A682" s="9"/>
      <c r="B682" s="20" t="s">
        <v>768</v>
      </c>
      <c r="C682" s="9"/>
      <c r="D682" s="9"/>
      <c r="E682" s="9" t="s">
        <v>15</v>
      </c>
      <c r="F682" s="9" t="s">
        <v>43</v>
      </c>
      <c r="G682" s="9" t="s">
        <v>792</v>
      </c>
      <c r="H682" s="24">
        <f>2.4*1.1*0.1*2</f>
        <v>0.52800000000000002</v>
      </c>
      <c r="I682" s="12">
        <v>3341000</v>
      </c>
      <c r="J682" s="85">
        <v>1</v>
      </c>
      <c r="K682" s="18">
        <f t="shared" si="114"/>
        <v>1764048</v>
      </c>
      <c r="L682" s="84"/>
      <c r="N682" s="8">
        <f t="shared" si="113"/>
        <v>3341000</v>
      </c>
      <c r="O682" s="7" t="s">
        <v>804</v>
      </c>
    </row>
    <row r="683" spans="1:15" s="6" customFormat="1" x14ac:dyDescent="0.25">
      <c r="A683" s="9"/>
      <c r="B683" s="17" t="s">
        <v>393</v>
      </c>
      <c r="C683" s="9"/>
      <c r="D683" s="9"/>
      <c r="E683" s="9" t="s">
        <v>10</v>
      </c>
      <c r="F683" s="9"/>
      <c r="G683" s="9" t="s">
        <v>793</v>
      </c>
      <c r="H683" s="24">
        <f>0.9*0.45*26</f>
        <v>10.530000000000001</v>
      </c>
      <c r="I683" s="12">
        <v>611000</v>
      </c>
      <c r="J683" s="85">
        <v>1</v>
      </c>
      <c r="K683" s="18">
        <f t="shared" si="114"/>
        <v>6433830.0000000009</v>
      </c>
      <c r="L683" s="84"/>
      <c r="N683" s="8">
        <f t="shared" si="113"/>
        <v>611000</v>
      </c>
      <c r="O683" s="7"/>
    </row>
    <row r="684" spans="1:15" s="6" customFormat="1" x14ac:dyDescent="0.25">
      <c r="A684" s="9"/>
      <c r="B684" s="17" t="s">
        <v>223</v>
      </c>
      <c r="C684" s="9"/>
      <c r="D684" s="9"/>
      <c r="E684" s="9" t="s">
        <v>15</v>
      </c>
      <c r="F684" s="9"/>
      <c r="G684" s="9" t="s">
        <v>794</v>
      </c>
      <c r="H684" s="24">
        <f>(7.3+27.8)*0.45*0.4</f>
        <v>6.3180000000000014</v>
      </c>
      <c r="I684" s="12">
        <v>552000</v>
      </c>
      <c r="J684" s="85">
        <v>1</v>
      </c>
      <c r="K684" s="12">
        <f t="shared" si="114"/>
        <v>3487536.0000000009</v>
      </c>
      <c r="L684" s="84"/>
      <c r="N684" s="8">
        <f t="shared" si="113"/>
        <v>552000</v>
      </c>
      <c r="O684" s="7"/>
    </row>
    <row r="685" spans="1:15" s="6" customFormat="1" x14ac:dyDescent="0.25">
      <c r="A685" s="9"/>
      <c r="B685" s="17" t="s">
        <v>618</v>
      </c>
      <c r="C685" s="9"/>
      <c r="D685" s="9"/>
      <c r="E685" s="9" t="s">
        <v>10</v>
      </c>
      <c r="F685" s="9"/>
      <c r="G685" s="9" t="s">
        <v>489</v>
      </c>
      <c r="H685" s="24">
        <f>0.8*0.6*3</f>
        <v>1.44</v>
      </c>
      <c r="I685" s="12">
        <v>255000</v>
      </c>
      <c r="J685" s="85">
        <v>1</v>
      </c>
      <c r="K685" s="12">
        <f t="shared" si="114"/>
        <v>367200</v>
      </c>
      <c r="L685" s="84"/>
      <c r="N685" s="29">
        <v>255000</v>
      </c>
      <c r="O685" s="7"/>
    </row>
    <row r="686" spans="1:15" s="6" customFormat="1" x14ac:dyDescent="0.25">
      <c r="A686" s="13">
        <v>26</v>
      </c>
      <c r="B686" s="30" t="s">
        <v>664</v>
      </c>
      <c r="C686" s="9"/>
      <c r="D686" s="9"/>
      <c r="E686" s="9"/>
      <c r="F686" s="9"/>
      <c r="G686" s="9"/>
      <c r="H686" s="24"/>
      <c r="I686" s="12"/>
      <c r="J686" s="106"/>
      <c r="K686" s="89">
        <f>+K687+K688</f>
        <v>17000000</v>
      </c>
      <c r="L686" s="84"/>
      <c r="N686" s="7"/>
      <c r="O686" s="7"/>
    </row>
    <row r="687" spans="1:15" s="191" customFormat="1" x14ac:dyDescent="0.25">
      <c r="A687" s="185"/>
      <c r="B687" s="186" t="s">
        <v>803</v>
      </c>
      <c r="C687" s="185"/>
      <c r="D687" s="185"/>
      <c r="E687" s="185" t="s">
        <v>47</v>
      </c>
      <c r="F687" s="185"/>
      <c r="G687" s="185"/>
      <c r="H687" s="187">
        <v>6</v>
      </c>
      <c r="I687" s="188">
        <v>2000000</v>
      </c>
      <c r="J687" s="189">
        <v>1</v>
      </c>
      <c r="K687" s="188">
        <f t="shared" ref="K687:K688" si="115">H687*I687</f>
        <v>12000000</v>
      </c>
      <c r="L687" s="190"/>
      <c r="N687" s="192">
        <f>+I687</f>
        <v>2000000</v>
      </c>
      <c r="O687" s="193"/>
    </row>
    <row r="688" spans="1:15" s="191" customFormat="1" x14ac:dyDescent="0.25">
      <c r="A688" s="185"/>
      <c r="B688" s="186" t="s">
        <v>48</v>
      </c>
      <c r="C688" s="194"/>
      <c r="D688" s="185"/>
      <c r="E688" s="185" t="s">
        <v>49</v>
      </c>
      <c r="F688" s="185"/>
      <c r="G688" s="185"/>
      <c r="H688" s="187">
        <v>1</v>
      </c>
      <c r="I688" s="188">
        <v>5000000</v>
      </c>
      <c r="J688" s="189">
        <v>1</v>
      </c>
      <c r="K688" s="188">
        <f t="shared" si="115"/>
        <v>5000000</v>
      </c>
      <c r="L688" s="190"/>
      <c r="N688" s="192">
        <f>+I688</f>
        <v>5000000</v>
      </c>
      <c r="O688" s="193"/>
    </row>
    <row r="689" spans="1:15" s="117" customFormat="1" x14ac:dyDescent="0.25">
      <c r="A689" s="111" t="s">
        <v>835</v>
      </c>
      <c r="B689" s="112" t="s">
        <v>800</v>
      </c>
      <c r="C689" s="111"/>
      <c r="D689" s="111"/>
      <c r="E689" s="67"/>
      <c r="F689" s="67"/>
      <c r="G689" s="111"/>
      <c r="H689" s="113"/>
      <c r="I689" s="114"/>
      <c r="J689" s="115"/>
      <c r="K689" s="114">
        <f>SUM(K40:K688)/2</f>
        <v>18817217980.312</v>
      </c>
      <c r="L689" s="116"/>
      <c r="N689" s="118"/>
      <c r="O689" s="118"/>
    </row>
    <row r="690" spans="1:15" s="117" customFormat="1" x14ac:dyDescent="0.25">
      <c r="A690" s="111" t="s">
        <v>837</v>
      </c>
      <c r="B690" s="112" t="s">
        <v>801</v>
      </c>
      <c r="C690" s="111"/>
      <c r="D690" s="111"/>
      <c r="E690" s="67"/>
      <c r="F690" s="67"/>
      <c r="G690" s="111"/>
      <c r="H690" s="113"/>
      <c r="I690" s="114"/>
      <c r="J690" s="115"/>
      <c r="K690" s="114">
        <f>K689*2%</f>
        <v>376344359.60624003</v>
      </c>
      <c r="L690" s="116"/>
      <c r="N690" s="118"/>
      <c r="O690" s="118"/>
    </row>
    <row r="691" spans="1:15" s="117" customFormat="1" x14ac:dyDescent="0.25">
      <c r="A691" s="111" t="s">
        <v>846</v>
      </c>
      <c r="B691" s="112" t="s">
        <v>842</v>
      </c>
      <c r="C691" s="111"/>
      <c r="D691" s="111"/>
      <c r="E691" s="67"/>
      <c r="F691" s="67"/>
      <c r="G691" s="111"/>
      <c r="H691" s="113"/>
      <c r="I691" s="114"/>
      <c r="J691" s="115"/>
      <c r="K691" s="114">
        <f>SUM(K689:K690)</f>
        <v>19193562339.91824</v>
      </c>
      <c r="L691" s="116"/>
      <c r="N691" s="118"/>
      <c r="O691" s="118"/>
    </row>
    <row r="692" spans="1:15" s="32" customFormat="1" x14ac:dyDescent="0.25">
      <c r="A692" s="124" t="s">
        <v>847</v>
      </c>
      <c r="B692" s="125"/>
      <c r="C692" s="125"/>
      <c r="D692" s="125"/>
      <c r="E692" s="125"/>
      <c r="F692" s="125"/>
      <c r="G692" s="126"/>
      <c r="H692" s="107"/>
      <c r="I692" s="108"/>
      <c r="J692" s="109"/>
      <c r="K692" s="108">
        <f>K691+K38</f>
        <v>20973740599.91824</v>
      </c>
      <c r="L692" s="110"/>
      <c r="N692" s="31"/>
      <c r="O692" s="31"/>
    </row>
    <row r="693" spans="1:15" s="32" customFormat="1" x14ac:dyDescent="0.25">
      <c r="A693" s="124" t="s">
        <v>848</v>
      </c>
      <c r="B693" s="125"/>
      <c r="C693" s="125"/>
      <c r="D693" s="125"/>
      <c r="E693" s="125"/>
      <c r="F693" s="125"/>
      <c r="G693" s="126"/>
      <c r="H693" s="107"/>
      <c r="I693" s="108"/>
      <c r="J693" s="109"/>
      <c r="K693" s="108">
        <f>ROUND(K692,-3)</f>
        <v>20973741000</v>
      </c>
      <c r="L693" s="110"/>
      <c r="N693" s="31"/>
      <c r="O693" s="31"/>
    </row>
    <row r="702" spans="1:15" ht="18.75" x14ac:dyDescent="0.25">
      <c r="K702" s="37"/>
    </row>
    <row r="703" spans="1:15" ht="18.75" x14ac:dyDescent="0.25">
      <c r="K703" s="37"/>
    </row>
    <row r="704" spans="1:15" ht="18.75" x14ac:dyDescent="0.25">
      <c r="K704" s="37"/>
    </row>
    <row r="705" spans="11:11" ht="18.75" x14ac:dyDescent="0.25">
      <c r="K705" s="37"/>
    </row>
    <row r="706" spans="11:11" ht="18.75" x14ac:dyDescent="0.25">
      <c r="K706" s="37"/>
    </row>
    <row r="707" spans="11:11" ht="18.75" x14ac:dyDescent="0.25">
      <c r="K707" s="37"/>
    </row>
  </sheetData>
  <autoFilter ref="A5:P693" xr:uid="{00000000-0001-0000-0000-000000000000}"/>
  <mergeCells count="34">
    <mergeCell ref="A692:G692"/>
    <mergeCell ref="A693:G693"/>
    <mergeCell ref="E663:E664"/>
    <mergeCell ref="F663:F664"/>
    <mergeCell ref="G663:G664"/>
    <mergeCell ref="G249:G250"/>
    <mergeCell ref="E276:E277"/>
    <mergeCell ref="F276:F277"/>
    <mergeCell ref="G276:G277"/>
    <mergeCell ref="E591:E592"/>
    <mergeCell ref="F591:F592"/>
    <mergeCell ref="G591:G592"/>
    <mergeCell ref="E539:E540"/>
    <mergeCell ref="F539:F540"/>
    <mergeCell ref="E372:E373"/>
    <mergeCell ref="F372:F373"/>
    <mergeCell ref="E438:E439"/>
    <mergeCell ref="F438:F439"/>
    <mergeCell ref="A2:L2"/>
    <mergeCell ref="A1:L1"/>
    <mergeCell ref="E479:E480"/>
    <mergeCell ref="F479:F480"/>
    <mergeCell ref="F118:F119"/>
    <mergeCell ref="E118:E119"/>
    <mergeCell ref="G118:G119"/>
    <mergeCell ref="E192:I192"/>
    <mergeCell ref="E170:E171"/>
    <mergeCell ref="F170:F171"/>
    <mergeCell ref="G170:G171"/>
    <mergeCell ref="E330:E331"/>
    <mergeCell ref="F330:F331"/>
    <mergeCell ref="E221:I221"/>
    <mergeCell ref="E249:E250"/>
    <mergeCell ref="F249:F250"/>
  </mergeCells>
  <pageMargins left="0" right="0" top="3.937007874015748E-2" bottom="3.937007874015748E-2" header="0.31496062992125984" footer="0.31496062992125984"/>
  <pageSetup paperSize="9" scale="63"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57B401A5-9A91-461F-ADF3-57AECD10839F}"/>
</file>

<file path=customXml/itemProps2.xml><?xml version="1.0" encoding="utf-8"?>
<ds:datastoreItem xmlns:ds="http://schemas.openxmlformats.org/officeDocument/2006/customXml" ds:itemID="{CBE7C750-7C41-4BB5-8F55-D1EEBBDF2E56}"/>
</file>

<file path=customXml/itemProps3.xml><?xml version="1.0" encoding="utf-8"?>
<ds:datastoreItem xmlns:ds="http://schemas.openxmlformats.org/officeDocument/2006/customXml" ds:itemID="{70ED381C-C6CD-4A19-B5D6-8A50E7270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phương án</vt:lpstr>
      <vt:lpstr>'phương án'!Print_Area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BQLDA TC 1</dc:creator>
  <cp:lastModifiedBy>luan</cp:lastModifiedBy>
  <cp:lastPrinted>2023-09-07T01:26:00Z</cp:lastPrinted>
  <dcterms:created xsi:type="dcterms:W3CDTF">2023-02-26T00:12:40Z</dcterms:created>
  <dcterms:modified xsi:type="dcterms:W3CDTF">2023-09-07T03:37:14Z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